
<file path=[Content_Types].xml><?xml version="1.0" encoding="utf-8"?>
<Types xmlns="http://schemas.openxmlformats.org/package/2006/content-types">
  <Default Extension="xml" ContentType="application/xml"/>
  <Default Extension="png" ContentType="image/pn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426"/>
  <workbookPr date1904="1" checkCompatibility="1" autoCompressPictures="0"/>
  <mc:AlternateContent xmlns:mc="http://schemas.openxmlformats.org/markup-compatibility/2006">
    <mc:Choice Requires="x15">
      <x15ac:absPath xmlns:x15ac="http://schemas.microsoft.com/office/spreadsheetml/2010/11/ac" url="/Users/jbobsirrine/Documents/MSU/HOPS/HGA/"/>
    </mc:Choice>
  </mc:AlternateContent>
  <bookViews>
    <workbookView xWindow="0" yWindow="460" windowWidth="25600" windowHeight="14440" tabRatio="972" firstSheet="1" activeTab="2"/>
  </bookViews>
  <sheets>
    <sheet name="Instructions and Assumptions" sheetId="9" r:id="rId1"/>
    <sheet name="Cash Flow-growing only" sheetId="1" r:id="rId2"/>
    <sheet name="Cash Flow-grow+harvest+dry+bale" sheetId="5" r:id="rId3"/>
    <sheet name="App. A -Bld Out Infrastructure" sheetId="2" r:id="rId4"/>
    <sheet name="App. B -Buildout Labor" sheetId="3" r:id="rId5"/>
    <sheet name="App. C-Equipment" sheetId="4" r:id="rId6"/>
    <sheet name="App. D Loan detail" sheetId="6" r:id="rId7"/>
    <sheet name="App E. Insurance Detail" sheetId="7" r:id="rId8"/>
    <sheet name="App. F - Unanticipated Expenses" sheetId="10" r:id="rId9"/>
  </sheets>
  <definedNames>
    <definedName name="_xlnm.Print_Area" localSheetId="2">'Cash Flow-grow+harvest+dry+bale'!$A$1:$G$76</definedName>
    <definedName name="_xlnm.Print_Area" localSheetId="1">'Cash Flow-growing only'!$A$1:$G$73</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47" i="5" l="1"/>
  <c r="D47" i="5"/>
  <c r="E47" i="5"/>
  <c r="F47" i="5"/>
  <c r="B47" i="5"/>
  <c r="C59" i="5"/>
  <c r="D59" i="5"/>
  <c r="E59" i="5"/>
  <c r="F59" i="5"/>
  <c r="B59" i="5"/>
  <c r="C55" i="1"/>
  <c r="D55" i="1"/>
  <c r="E55" i="1"/>
  <c r="F55" i="1"/>
  <c r="B55" i="1"/>
  <c r="B43" i="1"/>
  <c r="F47" i="1"/>
  <c r="F48" i="1"/>
  <c r="F49" i="1"/>
  <c r="F50" i="1"/>
  <c r="F5" i="7"/>
  <c r="F11" i="7"/>
  <c r="F51" i="1"/>
  <c r="P5" i="10"/>
  <c r="P6" i="10"/>
  <c r="P7" i="10"/>
  <c r="P8" i="10"/>
  <c r="P9" i="10"/>
  <c r="P10" i="10"/>
  <c r="P11" i="10"/>
  <c r="P12" i="10"/>
  <c r="P13" i="10"/>
  <c r="P14" i="10"/>
  <c r="P15" i="10"/>
  <c r="P16" i="10"/>
  <c r="F52" i="1"/>
  <c r="F53" i="1"/>
  <c r="F19" i="1"/>
  <c r="F20" i="1"/>
  <c r="F21" i="1"/>
  <c r="F22" i="1"/>
  <c r="F23" i="1"/>
  <c r="F24" i="1"/>
  <c r="F25" i="1"/>
  <c r="F26" i="1"/>
  <c r="F27" i="1"/>
  <c r="F28" i="1"/>
  <c r="F29" i="1"/>
  <c r="B7" i="6"/>
  <c r="D36" i="2"/>
  <c r="D37" i="2"/>
  <c r="D38" i="2"/>
  <c r="D41" i="2"/>
  <c r="D20" i="2"/>
  <c r="D21" i="2"/>
  <c r="D22" i="2"/>
  <c r="D23" i="2"/>
  <c r="D24" i="2"/>
  <c r="D25" i="2"/>
  <c r="D26" i="2"/>
  <c r="D27" i="2"/>
  <c r="D28" i="2"/>
  <c r="D29" i="2"/>
  <c r="D30" i="2"/>
  <c r="D32" i="2"/>
  <c r="D33" i="2"/>
  <c r="D5" i="2"/>
  <c r="D6" i="2"/>
  <c r="D8" i="2"/>
  <c r="D9" i="2"/>
  <c r="B10" i="2"/>
  <c r="D10" i="2"/>
  <c r="D11" i="2"/>
  <c r="D12" i="2"/>
  <c r="D13" i="2"/>
  <c r="D14" i="2"/>
  <c r="D15" i="2"/>
  <c r="D16" i="2"/>
  <c r="D17" i="2"/>
  <c r="D43" i="2"/>
  <c r="D44" i="2"/>
  <c r="D46" i="2"/>
  <c r="D47" i="2"/>
  <c r="B13" i="1"/>
  <c r="D4" i="3"/>
  <c r="F4" i="3"/>
  <c r="D5" i="3"/>
  <c r="F5" i="3"/>
  <c r="D6" i="3"/>
  <c r="F6" i="3"/>
  <c r="D7" i="3"/>
  <c r="F7" i="3"/>
  <c r="D8" i="3"/>
  <c r="F8" i="3"/>
  <c r="D9" i="3"/>
  <c r="F9" i="3"/>
  <c r="D10" i="3"/>
  <c r="F10" i="3"/>
  <c r="D11" i="3"/>
  <c r="F11" i="3"/>
  <c r="D12" i="3"/>
  <c r="F12" i="3"/>
  <c r="D13" i="3"/>
  <c r="F13" i="3"/>
  <c r="D14" i="3"/>
  <c r="F14" i="3"/>
  <c r="D15" i="3"/>
  <c r="F15" i="3"/>
  <c r="D16" i="3"/>
  <c r="F16" i="3"/>
  <c r="D17" i="3"/>
  <c r="F17" i="3"/>
  <c r="F20" i="3"/>
  <c r="F21" i="3"/>
  <c r="B14" i="1"/>
  <c r="D4" i="4"/>
  <c r="D5" i="4"/>
  <c r="D6" i="4"/>
  <c r="D7" i="4"/>
  <c r="D8" i="4"/>
  <c r="D9" i="4"/>
  <c r="B15" i="1"/>
  <c r="B16" i="1"/>
  <c r="B3" i="6"/>
  <c r="B8" i="6"/>
  <c r="B9" i="6"/>
  <c r="F40" i="1"/>
  <c r="F41" i="1"/>
  <c r="F32" i="1"/>
  <c r="F33" i="1"/>
  <c r="F34" i="1"/>
  <c r="F35" i="1"/>
  <c r="F9" i="1"/>
  <c r="F36" i="1"/>
  <c r="F37" i="1"/>
  <c r="F43" i="1"/>
  <c r="F70" i="1"/>
  <c r="B19" i="6"/>
  <c r="B13" i="5"/>
  <c r="B14" i="5"/>
  <c r="D10" i="4"/>
  <c r="D11" i="4"/>
  <c r="D12" i="4"/>
  <c r="D13" i="4"/>
  <c r="D14" i="4"/>
  <c r="D15" i="4"/>
  <c r="B15" i="5"/>
  <c r="B16" i="5"/>
  <c r="B15" i="6"/>
  <c r="B20" i="6"/>
  <c r="B21" i="6"/>
  <c r="F44" i="5"/>
  <c r="F45" i="5"/>
  <c r="F16" i="5"/>
  <c r="F19" i="5"/>
  <c r="F20" i="5"/>
  <c r="F21" i="5"/>
  <c r="F22" i="5"/>
  <c r="F23" i="5"/>
  <c r="F24" i="5"/>
  <c r="F25" i="5"/>
  <c r="F26" i="5"/>
  <c r="F27" i="5"/>
  <c r="F28" i="5"/>
  <c r="F29" i="5"/>
  <c r="F32" i="5"/>
  <c r="F34" i="5"/>
  <c r="F35" i="5"/>
  <c r="F36" i="5"/>
  <c r="F37" i="5"/>
  <c r="F38" i="5"/>
  <c r="F39" i="5"/>
  <c r="F9" i="5"/>
  <c r="F40" i="5"/>
  <c r="F41" i="5"/>
  <c r="F51" i="5"/>
  <c r="F52" i="5"/>
  <c r="F53" i="5"/>
  <c r="F54" i="5"/>
  <c r="F55" i="5"/>
  <c r="F56" i="5"/>
  <c r="F57" i="5"/>
  <c r="F63" i="5"/>
  <c r="C44" i="5"/>
  <c r="C45" i="5"/>
  <c r="C16" i="5"/>
  <c r="C19" i="5"/>
  <c r="C20" i="5"/>
  <c r="C21" i="5"/>
  <c r="C22" i="5"/>
  <c r="C23" i="5"/>
  <c r="C24" i="5"/>
  <c r="C25" i="5"/>
  <c r="C26" i="5"/>
  <c r="C27" i="5"/>
  <c r="C28" i="5"/>
  <c r="C29" i="5"/>
  <c r="C32" i="5"/>
  <c r="C34" i="5"/>
  <c r="C35" i="5"/>
  <c r="C36" i="5"/>
  <c r="C37" i="5"/>
  <c r="C38" i="5"/>
  <c r="C39" i="5"/>
  <c r="C9" i="5"/>
  <c r="C40" i="5"/>
  <c r="C41" i="5"/>
  <c r="C51" i="5"/>
  <c r="C52" i="5"/>
  <c r="C53" i="5"/>
  <c r="C54" i="5"/>
  <c r="C5" i="7"/>
  <c r="C11" i="7"/>
  <c r="C55" i="5"/>
  <c r="G5" i="10"/>
  <c r="G6" i="10"/>
  <c r="G7" i="10"/>
  <c r="G8" i="10"/>
  <c r="G9" i="10"/>
  <c r="G10" i="10"/>
  <c r="G11" i="10"/>
  <c r="G12" i="10"/>
  <c r="G13" i="10"/>
  <c r="G14" i="10"/>
  <c r="G15" i="10"/>
  <c r="G16" i="10"/>
  <c r="C56" i="5"/>
  <c r="C57" i="5"/>
  <c r="D44" i="5"/>
  <c r="D45" i="5"/>
  <c r="D16" i="5"/>
  <c r="D19" i="5"/>
  <c r="D20" i="5"/>
  <c r="D21" i="5"/>
  <c r="D22" i="5"/>
  <c r="D23" i="5"/>
  <c r="D24" i="5"/>
  <c r="D25" i="5"/>
  <c r="D26" i="5"/>
  <c r="D27" i="5"/>
  <c r="D28" i="5"/>
  <c r="D29" i="5"/>
  <c r="D32" i="5"/>
  <c r="D34" i="5"/>
  <c r="D35" i="5"/>
  <c r="D36" i="5"/>
  <c r="D37" i="5"/>
  <c r="D38" i="5"/>
  <c r="D39" i="5"/>
  <c r="D9" i="5"/>
  <c r="D40" i="5"/>
  <c r="D41" i="5"/>
  <c r="D51" i="5"/>
  <c r="D52" i="5"/>
  <c r="D53" i="5"/>
  <c r="D54" i="5"/>
  <c r="D5" i="7"/>
  <c r="D11" i="7"/>
  <c r="D55" i="5"/>
  <c r="J5" i="10"/>
  <c r="J6" i="10"/>
  <c r="J7" i="10"/>
  <c r="J8" i="10"/>
  <c r="J9" i="10"/>
  <c r="J10" i="10"/>
  <c r="J11" i="10"/>
  <c r="J12" i="10"/>
  <c r="J13" i="10"/>
  <c r="J14" i="10"/>
  <c r="J15" i="10"/>
  <c r="J16" i="10"/>
  <c r="D56" i="5"/>
  <c r="D57" i="5"/>
  <c r="E44" i="5"/>
  <c r="E45" i="5"/>
  <c r="E16" i="5"/>
  <c r="E19" i="5"/>
  <c r="E20" i="5"/>
  <c r="E21" i="5"/>
  <c r="E22" i="5"/>
  <c r="E23" i="5"/>
  <c r="E24" i="5"/>
  <c r="E25" i="5"/>
  <c r="E26" i="5"/>
  <c r="E27" i="5"/>
  <c r="E28" i="5"/>
  <c r="E29" i="5"/>
  <c r="E32" i="5"/>
  <c r="E34" i="5"/>
  <c r="E35" i="5"/>
  <c r="E36" i="5"/>
  <c r="E37" i="5"/>
  <c r="E38" i="5"/>
  <c r="E39" i="5"/>
  <c r="E9" i="5"/>
  <c r="E40" i="5"/>
  <c r="E41" i="5"/>
  <c r="E51" i="5"/>
  <c r="E52" i="5"/>
  <c r="E53" i="5"/>
  <c r="E54" i="5"/>
  <c r="E5" i="7"/>
  <c r="E11" i="7"/>
  <c r="E55" i="5"/>
  <c r="M5" i="10"/>
  <c r="M6" i="10"/>
  <c r="M7" i="10"/>
  <c r="M8" i="10"/>
  <c r="M9" i="10"/>
  <c r="M10" i="10"/>
  <c r="M11" i="10"/>
  <c r="M12" i="10"/>
  <c r="M13" i="10"/>
  <c r="M14" i="10"/>
  <c r="M15" i="10"/>
  <c r="M16" i="10"/>
  <c r="E56" i="5"/>
  <c r="E57" i="5"/>
  <c r="B44" i="5"/>
  <c r="B45" i="5"/>
  <c r="B22" i="5"/>
  <c r="B23" i="5"/>
  <c r="B24" i="5"/>
  <c r="B26" i="5"/>
  <c r="B27" i="5"/>
  <c r="B28" i="5"/>
  <c r="B29" i="5"/>
  <c r="B41" i="5"/>
  <c r="B51" i="5"/>
  <c r="B52" i="5"/>
  <c r="B53" i="5"/>
  <c r="B54" i="5"/>
  <c r="B6" i="1"/>
  <c r="B5" i="7"/>
  <c r="B11" i="7"/>
  <c r="B55" i="5"/>
  <c r="D5" i="10"/>
  <c r="D6" i="10"/>
  <c r="D7" i="10"/>
  <c r="D8" i="10"/>
  <c r="D9" i="10"/>
  <c r="D10" i="10"/>
  <c r="D11" i="10"/>
  <c r="D12" i="10"/>
  <c r="D13" i="10"/>
  <c r="D14" i="10"/>
  <c r="D15" i="10"/>
  <c r="D16" i="10"/>
  <c r="B56" i="5"/>
  <c r="B57" i="5"/>
  <c r="B40" i="1"/>
  <c r="B41" i="1"/>
  <c r="B22" i="1"/>
  <c r="B23" i="1"/>
  <c r="B24" i="1"/>
  <c r="B26" i="1"/>
  <c r="B27" i="1"/>
  <c r="B28" i="1"/>
  <c r="B29" i="1"/>
  <c r="B37" i="1"/>
  <c r="B47" i="1"/>
  <c r="B48" i="1"/>
  <c r="B49" i="1"/>
  <c r="B50" i="1"/>
  <c r="B51" i="1"/>
  <c r="B52" i="1"/>
  <c r="B53" i="1"/>
  <c r="B9" i="1"/>
  <c r="B59" i="1"/>
  <c r="C40" i="1"/>
  <c r="C41" i="1"/>
  <c r="C19" i="1"/>
  <c r="C20" i="1"/>
  <c r="C21" i="1"/>
  <c r="C22" i="1"/>
  <c r="C23" i="1"/>
  <c r="C24" i="1"/>
  <c r="C25" i="1"/>
  <c r="C26" i="1"/>
  <c r="C27" i="1"/>
  <c r="C28" i="1"/>
  <c r="C29" i="1"/>
  <c r="C32" i="1"/>
  <c r="C33" i="1"/>
  <c r="C34" i="1"/>
  <c r="C35" i="1"/>
  <c r="C9" i="1"/>
  <c r="C36" i="1"/>
  <c r="C37" i="1"/>
  <c r="C43" i="1"/>
  <c r="C47" i="1"/>
  <c r="C48" i="1"/>
  <c r="C49" i="1"/>
  <c r="C50" i="1"/>
  <c r="C51" i="1"/>
  <c r="C52" i="1"/>
  <c r="C53" i="1"/>
  <c r="D40" i="1"/>
  <c r="D41" i="1"/>
  <c r="D19" i="1"/>
  <c r="D20" i="1"/>
  <c r="D21" i="1"/>
  <c r="D22" i="1"/>
  <c r="D23" i="1"/>
  <c r="D24" i="1"/>
  <c r="D25" i="1"/>
  <c r="D26" i="1"/>
  <c r="D27" i="1"/>
  <c r="D28" i="1"/>
  <c r="D29" i="1"/>
  <c r="D32" i="1"/>
  <c r="D33" i="1"/>
  <c r="D34" i="1"/>
  <c r="D35" i="1"/>
  <c r="D9" i="1"/>
  <c r="D36" i="1"/>
  <c r="D37" i="1"/>
  <c r="D43" i="1"/>
  <c r="D47" i="1"/>
  <c r="D48" i="1"/>
  <c r="D49" i="1"/>
  <c r="D50" i="1"/>
  <c r="D51" i="1"/>
  <c r="D52" i="1"/>
  <c r="D53" i="1"/>
  <c r="E40" i="1"/>
  <c r="E41" i="1"/>
  <c r="E19" i="1"/>
  <c r="E20" i="1"/>
  <c r="E21" i="1"/>
  <c r="E22" i="1"/>
  <c r="E23" i="1"/>
  <c r="E24" i="1"/>
  <c r="E25" i="1"/>
  <c r="E26" i="1"/>
  <c r="E27" i="1"/>
  <c r="E28" i="1"/>
  <c r="E29" i="1"/>
  <c r="E32" i="1"/>
  <c r="E33" i="1"/>
  <c r="E34" i="1"/>
  <c r="E35" i="1"/>
  <c r="E9" i="1"/>
  <c r="E36" i="1"/>
  <c r="E37" i="1"/>
  <c r="E43" i="1"/>
  <c r="E47" i="1"/>
  <c r="E48" i="1"/>
  <c r="E49" i="1"/>
  <c r="E50" i="1"/>
  <c r="E51" i="1"/>
  <c r="E52" i="1"/>
  <c r="E53" i="1"/>
  <c r="G56" i="5"/>
  <c r="G52" i="1"/>
  <c r="D48" i="2"/>
  <c r="F22" i="3"/>
  <c r="D70" i="5"/>
  <c r="B74" i="5"/>
  <c r="B73" i="5"/>
  <c r="B72" i="5"/>
  <c r="B71" i="5"/>
  <c r="D72" i="5"/>
  <c r="B69" i="5"/>
  <c r="F16" i="1"/>
  <c r="F71" i="1"/>
  <c r="F69" i="1"/>
  <c r="F68" i="1"/>
  <c r="F67" i="1"/>
  <c r="F66" i="1"/>
  <c r="F65" i="1"/>
  <c r="F64" i="1"/>
  <c r="E71" i="1"/>
  <c r="E70" i="1"/>
  <c r="E69" i="1"/>
  <c r="E68" i="1"/>
  <c r="E67" i="1"/>
  <c r="E66" i="1"/>
  <c r="E65" i="1"/>
  <c r="E64" i="1"/>
  <c r="D71" i="1"/>
  <c r="D70" i="1"/>
  <c r="D69" i="1"/>
  <c r="D68" i="1"/>
  <c r="D67" i="1"/>
  <c r="D66" i="1"/>
  <c r="D65" i="1"/>
  <c r="D64" i="1"/>
  <c r="C71" i="1"/>
  <c r="C70" i="1"/>
  <c r="C68" i="1"/>
  <c r="C67" i="1"/>
  <c r="C66" i="1"/>
  <c r="C65" i="1"/>
  <c r="B71" i="1"/>
  <c r="B70" i="1"/>
  <c r="B69" i="1"/>
  <c r="C69" i="1"/>
  <c r="C64" i="1"/>
  <c r="B68" i="1"/>
  <c r="B67" i="1"/>
  <c r="B66" i="1"/>
  <c r="B65" i="1"/>
  <c r="B64" i="1"/>
  <c r="F68" i="5"/>
  <c r="F75" i="5"/>
  <c r="F74" i="5"/>
  <c r="F73" i="5"/>
  <c r="F72" i="5"/>
  <c r="F71" i="5"/>
  <c r="F70" i="5"/>
  <c r="E75" i="5"/>
  <c r="E74" i="5"/>
  <c r="E73" i="5"/>
  <c r="E72" i="5"/>
  <c r="E71" i="5"/>
  <c r="E70" i="5"/>
  <c r="E69" i="5"/>
  <c r="E68" i="5"/>
  <c r="D75" i="5"/>
  <c r="D74" i="5"/>
  <c r="D73" i="5"/>
  <c r="D71" i="5"/>
  <c r="D69" i="5"/>
  <c r="C75" i="5"/>
  <c r="C74" i="5"/>
  <c r="C73" i="5"/>
  <c r="C72" i="5"/>
  <c r="C71" i="5"/>
  <c r="C70" i="5"/>
  <c r="B75" i="5"/>
  <c r="B70" i="5"/>
  <c r="F69" i="5"/>
  <c r="C69" i="5"/>
  <c r="D68" i="5"/>
  <c r="C68" i="5"/>
  <c r="B68" i="5"/>
  <c r="D44" i="1"/>
  <c r="E44" i="1"/>
  <c r="F44" i="1"/>
  <c r="C44" i="1"/>
  <c r="B44" i="1"/>
  <c r="G6" i="7"/>
  <c r="G37" i="5"/>
  <c r="G76" i="5"/>
  <c r="C48" i="5"/>
  <c r="B48" i="5"/>
  <c r="G29" i="5"/>
  <c r="C16" i="1"/>
  <c r="D48" i="5"/>
  <c r="E48" i="5"/>
  <c r="F48" i="5"/>
  <c r="G48" i="5"/>
  <c r="G45" i="5"/>
  <c r="G41" i="5"/>
  <c r="G29" i="1"/>
  <c r="G44" i="1"/>
  <c r="G41" i="1"/>
  <c r="G37" i="1"/>
  <c r="G33" i="1"/>
  <c r="C59" i="1"/>
  <c r="D16" i="1"/>
  <c r="D59" i="1"/>
  <c r="E16" i="1"/>
  <c r="E59" i="1"/>
  <c r="F59" i="1"/>
  <c r="G59" i="1"/>
  <c r="G55" i="1"/>
  <c r="G43" i="1"/>
  <c r="G73" i="1"/>
  <c r="G55" i="5"/>
  <c r="G53" i="1"/>
  <c r="G51" i="1"/>
  <c r="G5" i="7"/>
  <c r="G11" i="7"/>
  <c r="B22" i="6"/>
  <c r="B23" i="6"/>
  <c r="B10" i="6"/>
  <c r="B11" i="6"/>
  <c r="C63" i="5"/>
  <c r="G36" i="1"/>
  <c r="G40" i="5"/>
  <c r="G40" i="1"/>
  <c r="G44" i="5"/>
  <c r="G39" i="5"/>
  <c r="G38" i="5"/>
  <c r="B9" i="5"/>
  <c r="B63" i="5"/>
  <c r="D63" i="5"/>
  <c r="E63" i="5"/>
  <c r="G63" i="5"/>
  <c r="G59" i="5"/>
  <c r="G57" i="5"/>
  <c r="G47" i="5"/>
  <c r="G9" i="5"/>
  <c r="B6" i="5"/>
  <c r="G9" i="1"/>
  <c r="G32" i="1"/>
  <c r="G35" i="1"/>
  <c r="G34" i="1"/>
</calcChain>
</file>

<file path=xl/sharedStrings.xml><?xml version="1.0" encoding="utf-8"?>
<sst xmlns="http://schemas.openxmlformats.org/spreadsheetml/2006/main" count="348" uniqueCount="255">
  <si>
    <t>Item</t>
  </si>
  <si>
    <t>Expenses</t>
  </si>
  <si>
    <t>TOTAL DIRECT COSTS</t>
  </si>
  <si>
    <t>Utilities</t>
  </si>
  <si>
    <t>Property Taxes</t>
  </si>
  <si>
    <t>TOTAL FARM OVERHEAD</t>
  </si>
  <si>
    <t>TOTAL EXPENSES</t>
  </si>
  <si>
    <t># Units</t>
  </si>
  <si>
    <t>Cost/Unit</t>
  </si>
  <si>
    <t>Total Cost</t>
  </si>
  <si>
    <t>Description</t>
  </si>
  <si>
    <t>Poles</t>
  </si>
  <si>
    <t>Red Pine 5”</t>
  </si>
  <si>
    <t>7x19 Galvanized</t>
  </si>
  <si>
    <t>5/16” Clips</t>
  </si>
  <si>
    <t>Malleable</t>
  </si>
  <si>
    <t>1/4” Clips</t>
  </si>
  <si>
    <t>Fence Staples 1 3/4”</t>
  </si>
  <si>
    <t>Fence Staples 3”</t>
  </si>
  <si>
    <t>6” Spikes</t>
  </si>
  <si>
    <t>Concrete</t>
  </si>
  <si>
    <t>SUBTOTAL</t>
  </si>
  <si>
    <t>Drip Line</t>
  </si>
  <si>
    <t>Toro PCS1853-24</t>
  </si>
  <si>
    <t>Manual Irrigation Valve - Brass</t>
  </si>
  <si>
    <t>Check Valve - Brass</t>
  </si>
  <si>
    <t>PVC Submain</t>
  </si>
  <si>
    <t>Schedule 40 2”x20’</t>
  </si>
  <si>
    <t>Filter</t>
  </si>
  <si>
    <t>Toro XD 2” Disc Filter IT-ABF5012-3X-N</t>
  </si>
  <si>
    <t>Air Vent</t>
  </si>
  <si>
    <t xml:space="preserve">Toro ARV-BBK1-S </t>
  </si>
  <si>
    <t>Misc. Fittings</t>
  </si>
  <si>
    <t>PVC</t>
  </si>
  <si>
    <t>Take Off Adapters</t>
  </si>
  <si>
    <t xml:space="preserve">Toro XP-16x16 </t>
  </si>
  <si>
    <t>Grommets</t>
  </si>
  <si>
    <t>Toro CAP-16</t>
  </si>
  <si>
    <t>Figure 8 End Clamp</t>
  </si>
  <si>
    <t xml:space="preserve">Toro FJQ16 </t>
  </si>
  <si>
    <t>Ditch Witch &amp; Ditching</t>
  </si>
  <si>
    <t>Telehandler</t>
  </si>
  <si>
    <t># of Units</t>
  </si>
  <si>
    <t># of Hours</t>
  </si>
  <si>
    <t>Unloading Deliveries</t>
  </si>
  <si>
    <t>Discing</t>
  </si>
  <si>
    <t>Marking</t>
  </si>
  <si>
    <t>Drilling</t>
  </si>
  <si>
    <t>Pole Layout</t>
  </si>
  <si>
    <t>Raising Poles</t>
  </si>
  <si>
    <t>Tamping Poles</t>
  </si>
  <si>
    <t>Drilling Anchors</t>
  </si>
  <si>
    <t>Pitching/Locking in anchors</t>
  </si>
  <si>
    <t>Layout Cable</t>
  </si>
  <si>
    <t>Stretching Cable</t>
  </si>
  <si>
    <t>Planting</t>
  </si>
  <si>
    <t>Irrigation</t>
  </si>
  <si>
    <t>Anchor Poles</t>
  </si>
  <si>
    <t>Yellow Pine 6-8"</t>
  </si>
  <si>
    <t>Skidsteer/Bobcat w auger</t>
  </si>
  <si>
    <t>GPS Unit</t>
  </si>
  <si>
    <t xml:space="preserve">1 week rental, RTK base kit </t>
  </si>
  <si>
    <t xml:space="preserve">   </t>
  </si>
  <si>
    <t>Capital Purchase/Labor</t>
  </si>
  <si>
    <t>Buildout Labor (Appendix B)</t>
  </si>
  <si>
    <t>Excavating</t>
  </si>
  <si>
    <t xml:space="preserve">Hop Quality Analysis $125/sample </t>
  </si>
  <si>
    <t>variable</t>
  </si>
  <si>
    <t>Income</t>
  </si>
  <si>
    <t>GROSS INCOME</t>
  </si>
  <si>
    <t>Income-Expenses</t>
  </si>
  <si>
    <t>NET INCOME</t>
  </si>
  <si>
    <t>Hopyard Infrastructure (Appendix A)</t>
  </si>
  <si>
    <t>Tractor</t>
  </si>
  <si>
    <t>Disc</t>
  </si>
  <si>
    <t>Weed Badger</t>
  </si>
  <si>
    <t>Mower</t>
  </si>
  <si>
    <t>Total Equipment Cost</t>
  </si>
  <si>
    <t>Cost / Unit</t>
  </si>
  <si>
    <t>Equipment (Appendix C)</t>
  </si>
  <si>
    <t>Year 1                            (2016)</t>
  </si>
  <si>
    <t>Year 2                      (2017)</t>
  </si>
  <si>
    <t>Year 3                           (2018)</t>
  </si>
  <si>
    <t>Year 4                        (2019)</t>
  </si>
  <si>
    <t>Year 5                           (2020)</t>
  </si>
  <si>
    <t>Weed Sprayer</t>
  </si>
  <si>
    <t>Dried Hop Pellets (lbs./acre)</t>
  </si>
  <si>
    <t>$/lb.</t>
  </si>
  <si>
    <t>acres</t>
  </si>
  <si>
    <t>Airblast Sprayer</t>
  </si>
  <si>
    <t>Picking machine electricity</t>
  </si>
  <si>
    <t>Loan Amount</t>
  </si>
  <si>
    <t>Interest rate</t>
  </si>
  <si>
    <t>Life of loan (years)</t>
  </si>
  <si>
    <t>Payments per year</t>
  </si>
  <si>
    <t>Total number of payments</t>
  </si>
  <si>
    <t>Payment per period (month)</t>
  </si>
  <si>
    <t>Sum of payments per year</t>
  </si>
  <si>
    <t>Sum of payments (total cost of loan)</t>
  </si>
  <si>
    <t xml:space="preserve"> Loan Detail (Appendix D)</t>
  </si>
  <si>
    <t>drilling post/anchor holes-40h</t>
  </si>
  <si>
    <t>Marketing &amp; Sales (10% of purchase price)</t>
  </si>
  <si>
    <t xml:space="preserve">This document is intended to serve as a a tool for producers interested in growing hops. Figures below are estimates based on survey data from small-scale growers in multiple states. Your figures will likely vary; you should add figures that accurately represent your operation. While this document has been vetted by several experts within the hop industry, you may need to add additional rows to account for unintended ommissions.  </t>
  </si>
  <si>
    <t>Equipment Rental</t>
  </si>
  <si>
    <t>Plants</t>
  </si>
  <si>
    <t>Trellis</t>
  </si>
  <si>
    <t>Appendix B. Build-Out Labor (5 Acres)</t>
  </si>
  <si>
    <t>Walk in Cooler (11' x 17' x 8')</t>
  </si>
  <si>
    <t>Oast (??)</t>
  </si>
  <si>
    <t>Baler (RB60)</t>
  </si>
  <si>
    <t>Appendix A - Hop Yard Infrastructure (5 acres)</t>
  </si>
  <si>
    <t>Total interest paid</t>
  </si>
  <si>
    <t>Hours/Person</t>
  </si>
  <si>
    <t># Persons</t>
  </si>
  <si>
    <t>$2500/wk</t>
  </si>
  <si>
    <t>6 ft.</t>
  </si>
  <si>
    <t>Farm Supervisory Cost ($20/hr)</t>
  </si>
  <si>
    <t>Well -digging</t>
  </si>
  <si>
    <t>Processing $1.50/lb.</t>
  </si>
  <si>
    <t>Harvest/Drying/Baling  $3/lb</t>
  </si>
  <si>
    <t>Custom Processing (pelletize, package) $1.50/lb.</t>
  </si>
  <si>
    <t>Cost / Hour*</t>
  </si>
  <si>
    <t>*contracted out</t>
  </si>
  <si>
    <t>Harvester, Hopster5P (PTO-powered), ~120-140 bines/hr</t>
  </si>
  <si>
    <t>Picking Machine Operation Labor ($12/hr x 4 people=$48/hr;  960 bines/ac x 2 strings/bine=1920 bines; 1920 bines/ac @120 bines/hr =16 hrs)</t>
  </si>
  <si>
    <t>PTO driven</t>
  </si>
  <si>
    <t>Twine ( 2400 pre-cut 22' strings/bale=$400. ~$0.17/string)</t>
  </si>
  <si>
    <t>Fertilizer and leaf feed (N,P,K,S,Zn,B, etc.)</t>
  </si>
  <si>
    <t>Tractor Fuel &amp; Oil (gasoline, diesel, lubricants, propane, etc.)</t>
  </si>
  <si>
    <t>Chemicals (all pesticides)</t>
  </si>
  <si>
    <t>Parts &amp; Repairs (equipment, trellis, irrigation, etc).</t>
  </si>
  <si>
    <t>Land lease rate $200/ac</t>
  </si>
  <si>
    <t>Yield (lbs./acre)</t>
  </si>
  <si>
    <t>Price/lb.</t>
  </si>
  <si>
    <t>Coverage</t>
  </si>
  <si>
    <t>TOTAL INSURANCE</t>
  </si>
  <si>
    <t>Year 1</t>
  </si>
  <si>
    <t>Year 2</t>
  </si>
  <si>
    <t>Year 3</t>
  </si>
  <si>
    <t>Year 4</t>
  </si>
  <si>
    <t>Year 5</t>
  </si>
  <si>
    <t>Total Estimated Cost (yrs 1-5)</t>
  </si>
  <si>
    <t>Freight for poles</t>
  </si>
  <si>
    <t>Anchor Rods</t>
  </si>
  <si>
    <t>5/16” Cable rolls</t>
  </si>
  <si>
    <t>1/4” Cable rolls</t>
  </si>
  <si>
    <t>Main line</t>
  </si>
  <si>
    <t>*Yield loss is covered and based on historical yields. Coverage includes equipment, supplies, and labor to restring bines.</t>
  </si>
  <si>
    <t>*Growing Hops (ex. Hail, wind, etc.;  $1/$100)</t>
  </si>
  <si>
    <t>Insurance (Appendix E)</t>
  </si>
  <si>
    <t>Fumigation ($400/ac)</t>
  </si>
  <si>
    <t>yields (lbs/ac dried hops) yr 1: 0; yr 2 (1100); yr 3 (1500); yr 4= (1600); yr 5 = (1800) @ $10/lb</t>
  </si>
  <si>
    <t>6%</t>
  </si>
  <si>
    <t>Sales Tax</t>
  </si>
  <si>
    <t>Estimated establishment cost/acre (Infrastructure + Labor; not including well or excavation)</t>
  </si>
  <si>
    <t>Twine (2400 pre-cut 22' strings/bale=$400. ~$0.17/string)</t>
  </si>
  <si>
    <t>Direct $/acre (not including loan)</t>
  </si>
  <si>
    <t xml:space="preserve"> </t>
  </si>
  <si>
    <t xml:space="preserve">Transport to custom harvest &amp; processing facility </t>
  </si>
  <si>
    <t>Annual Expenses-Field</t>
  </si>
  <si>
    <t>Annual Expenses-Harvest &amp; Post Harvest</t>
  </si>
  <si>
    <t xml:space="preserve">Annual Expenses - Farm Overhead </t>
  </si>
  <si>
    <t>Annual Expenses- Loan (annual payment)</t>
  </si>
  <si>
    <t>Annual Expenses-Loan (annual payment)</t>
  </si>
  <si>
    <t>Sub-Total Annual Expenses- Field</t>
  </si>
  <si>
    <t>Sub-Total Annual Expenses- Harvest &amp; Post Harvest</t>
  </si>
  <si>
    <t>Sub-Total Annual Expenses-Loan</t>
  </si>
  <si>
    <t>Sub-Total Annual Expenses -Harvest &amp; Post Harvest</t>
  </si>
  <si>
    <t>Sub-Total Annual Expenses- Loan</t>
  </si>
  <si>
    <t>NET INCOME/ ACRE under different lb./ac and $/lb. scenarios (year 5)</t>
  </si>
  <si>
    <t xml:space="preserve">Peak Season coverage. The question that is asked for this coverage is “What is the maximum value of hops in process in your picking machine, kiln and baler for your most valuable variety?”. Once again a grower with 100 acres of hops is going to have the same peak season exposure as a grower with 2,000 acres, presuming equal sized processing buildings. </t>
  </si>
  <si>
    <t xml:space="preserve">Disruption of farming operations (DoFO) .33%. Assuming $18,000/acre </t>
  </si>
  <si>
    <t>Appendix E. Insurance Detail (1 Acre)</t>
  </si>
  <si>
    <t>Excavation not included</t>
  </si>
  <si>
    <t>Labor- Field Harvest</t>
  </si>
  <si>
    <t>Cargo/Transit ($250,000 coverage)</t>
  </si>
  <si>
    <t>Trellis ($1000 coverage per acre=$10/acre)</t>
  </si>
  <si>
    <t>Growing Crop. $1 per $100 of value. If we agree to an unscientific amount of $1/lb. for unincurred costs, then Cost / Acre = (gross expected income -$1/lb.) / 100 / # acres. For year 5: 1800 lbs/acre * $10/lb - $1/lb) / 100 / 5 =  $162 per acre/yr annual cost.</t>
  </si>
  <si>
    <t xml:space="preserve">Peak Season (Hops in process) </t>
  </si>
  <si>
    <t>Crop Storage</t>
  </si>
  <si>
    <t xml:space="preserve">Disruption in Farm Operations </t>
  </si>
  <si>
    <t>Cargo/transit is a flat cost based on the maximum load value. Most growers are carrying around $250,000 with an annual cost around $2,200. The challenge with trying to come up with a per acre cost for this coverage is a 100 acre grower will have the same exposure on a 40’ flatbed as a 2,000 acre grower so there is an economy of scale for larger growers for this particular coverage.</t>
  </si>
  <si>
    <t>Disking ($128/ac)</t>
  </si>
  <si>
    <t>Labor- Spraying ($30/hr x .3 hrs/ac). Yr 1=12, yr 2+=20 sprays</t>
  </si>
  <si>
    <t>Labor- Training ($150/acre) *variety dependent</t>
  </si>
  <si>
    <t>Labor-Training ($150/acre) *variety dependent</t>
  </si>
  <si>
    <t>Trellis Coverage - $1.00 per $100 of trellised value.  Growers will set a value to insure per acre (usually around $7500) and must insure 100% of all trellised/twined fields.  This pays for the reconstruction or repair of a damaged field, above a given deductible.  There are very few growers that purchase this coverage in the PNW.</t>
  </si>
  <si>
    <t>Hops in Process - $.157 per $100 of value for the 45-60 days of harvest.  Covers hops from the picker to the bale, and in the bale while awaiting delivery if cooling etc.</t>
  </si>
  <si>
    <t>Crop Storage - $.98/$100 of stored goods.  This rate will vary wildly depending on the storage facility and conditions and length of storage.  For our clients that have an extended storage period or sell the product directly, we place a separate stock throughput policy which picks up this exposure and is less expensive.</t>
  </si>
  <si>
    <t>Transit - $.80/$100 of limit used per truck/vehicle.  This too will vary depending on the limit purchased.  Some growers don’t even buy it as the brokers pick up at their facility.  Others transport to the brewer/broker themselves and carry everywhere from a $100,000 per truck limit to a $300,000 per truck limit depending on the variety and quantity being transported.</t>
  </si>
  <si>
    <t>Disruption in Farming Operations (DOFO) - $.25 per $100 of value.  This number is generally calculated off of the full value of the projected year’s harvested crop (Growing crop limit), less the projected cost to harvest.  It is similar to a “Business Income” and extra expense coverage in the event the picking/drying/baling facility was damaged and could not operate for a portion of the harvest.  It would pay to have it done elsewhere if another facility was available, as well as the lost income if the product could not be harvested.</t>
  </si>
  <si>
    <t>Authors: J Robert Sirrine, Michigan State University Extension; Julian Post, University of Vermont. Alexander Adams, Harmony Hop Farm.</t>
  </si>
  <si>
    <t xml:space="preserve">Oast Fuel (boiler/oil) ~$200-250/ac </t>
  </si>
  <si>
    <t>Oast Labor (8-12 hrs/acre; $12/hr)</t>
  </si>
  <si>
    <t>Baling Labor ($12/hr, 3- 100lb bales/hr)</t>
  </si>
  <si>
    <t>Transport bales to custom pellet facility (variable-based on mileage, fuel, truck capacity)</t>
  </si>
  <si>
    <t xml:space="preserve">Authors: J Robert Sirrine, Michigan State University Extension; Julian Post, University of Vermont. </t>
  </si>
  <si>
    <t xml:space="preserve"> 10 ACRE HOP YARD (GROW ONLY)</t>
  </si>
  <si>
    <t xml:space="preserve"> 10 ACRE HOP YARD (GROW, HARVEST, DRY, BALE, STORE)</t>
  </si>
  <si>
    <t>Instructions</t>
  </si>
  <si>
    <t xml:space="preserve">1. This spreadsheet is designed to help prospective hop producers estimate costs and returns for producing hops under two different scenarios. </t>
  </si>
  <si>
    <t xml:space="preserve">   Model 1: Producer grows hops only (pays for custom harvest, drying, baling, processing, marketing and sales). </t>
  </si>
  <si>
    <t xml:space="preserve">   Model 2: Producer grows, harvests, dries, and bales (pays for custom processing, marketing and sales).</t>
  </si>
  <si>
    <t>Assumptions</t>
  </si>
  <si>
    <t>Model 1: Cash Flow-Growing Only</t>
  </si>
  <si>
    <t>Producer pays for custom harvest, drying, baling, and cold storage ($3.00/lb).</t>
  </si>
  <si>
    <t>Custom harvest and processor are located at the same location.</t>
  </si>
  <si>
    <t>Model 2: Cash Flow- Grow + Harvest  + Dry + Bale</t>
  </si>
  <si>
    <t>Model 1 &amp; Model 2</t>
  </si>
  <si>
    <t xml:space="preserve">Transportation costs will vary </t>
  </si>
  <si>
    <t>Producer pays for custom processing and packaging ($1.50/lb).</t>
  </si>
  <si>
    <t>Producer pays 10% of purchase price for marketing and sales.</t>
  </si>
  <si>
    <t>Yield (lbs/ac)=dried hops (10% moisture). Yr 1= 0; yr 2=1100; yr 3=1500; yr 4=1600; yr 5=1800. Yield will vary by variety and farm.</t>
  </si>
  <si>
    <t>Infrastructure (poles, wires, etc.) and associated costs will vary and depend upon hopyard dimensions</t>
  </si>
  <si>
    <t>Price of dried, pelletized, and packaged hops = $10/lb from a brewer. Actual $/lb will likely vary.</t>
  </si>
  <si>
    <t>Capital Purchase, Labor, Annual Input, Loan payment, &amp; Farm Overhead amounts will vary by farm and should be adjusted accordingly.</t>
  </si>
  <si>
    <t>Equipment purchase will vary by farm (ex. If a producer already owns a tractor and sprayer they can eliminate cells D4 and D6 in App. C-Equipment).</t>
  </si>
  <si>
    <t>Build-out Labor (Appendix B.) is hired out to a company @ $20/hour/person</t>
  </si>
  <si>
    <t>Stringing labor hired out @ ~$340/acre</t>
  </si>
  <si>
    <t xml:space="preserve">Land purchase not included </t>
  </si>
  <si>
    <t>Price of digging new well not included and could cost $20,000 or more</t>
  </si>
  <si>
    <t xml:space="preserve">Insurance rates will vary by state and coverage should be determined based upon individual circumstances, debt load, and risk tolerance (See App. E). </t>
  </si>
  <si>
    <t>Figures represent estimated costs and returns for a 10 acre hopyard where a producer grows hops only (Cash Flow-growing only tab)</t>
  </si>
  <si>
    <t xml:space="preserve">Figures represent estimated costs and returns for a 10 acre hopyard where a producer grows, harvests, dries, and bales (Cash Flow-grow+harvest+dry+bale tab). </t>
  </si>
  <si>
    <t>1 acre of hops will require more than 1 acre of land (it usually takes 1.1 acre of land to produce 1 acre of hops)</t>
  </si>
  <si>
    <t xml:space="preserve">2. The information in this publication serves as a general guide for a modern and well-managed hop farm as of 2016. To avoid unwarranted conclusions for any particular operation, closely examine the assumptions used. If they are not appropriate for your situation, adjust the costs and/or returns as appropriate. </t>
  </si>
  <si>
    <t xml:space="preserve">   Example 1. App. C-Equipment includes the price of a tractor ($30,000; cell D6). If a producer does not need to purchase a tractor, she/he can simply clear the cell and the bottomline will automatically adjust.</t>
  </si>
  <si>
    <t xml:space="preserve">   Example 2. If a hop producer receives more than $10/lb for hops, she/he can modify the $/lb (Row 8 for Models 1 &amp; 2).</t>
  </si>
  <si>
    <t>1 acre of hops = 960 hop plants (In-row spacing = 3.5 ft. Between-row spacing = 14 ft.)</t>
  </si>
  <si>
    <t>Years 1-5</t>
  </si>
  <si>
    <t>Labor-Stringing ~(11.5 worker hrs/ac x $30/hr) ~$340/acre</t>
  </si>
  <si>
    <t>**See the associated Moss Adams Amortization information presented at the 2016 American Hop Convention (1/18/2016)</t>
  </si>
  <si>
    <t>Trellis. $1,000 per acre = $10 per acre.</t>
  </si>
  <si>
    <t>Growing Crop – Hops - $1.00 rate per $100 of value contracted/grown and insured.  You must insure 100% of all twined fields and yield that you intend to harvest.  PNW perils include wind, hail, rain, collapse, Lightning, fire, etc.  Coverage in other regions may vary based on weather patterns. Coverage includes loss to yield as well as extra expense to harvest due to a covered event.</t>
  </si>
  <si>
    <t>Insurance Fine Print 2. Jeff Widdows, Payne West.</t>
  </si>
  <si>
    <t>Insurance Fine Print 1. Jeff Barrom, HUB Northwest LLC</t>
  </si>
  <si>
    <t>Appendix D. Loan Detail (10 Acres)</t>
  </si>
  <si>
    <t>Business loan payment (10 acre) GROW ONLY</t>
  </si>
  <si>
    <t>Business loan payment (10 acre) GROW HARVEST DRY BALE STORE</t>
  </si>
  <si>
    <t>Appendix C. Equipment Costs (10 acres)</t>
  </si>
  <si>
    <t>TOTAL LABOR- 5 acres</t>
  </si>
  <si>
    <t>1 acre</t>
  </si>
  <si>
    <t>10 acres</t>
  </si>
  <si>
    <t>GRAND TOTAL 5 acres</t>
  </si>
  <si>
    <t>Twining Sled/Scaffold $4000-$15,000</t>
  </si>
  <si>
    <t>Unanticipated expenses can be added to Appendix F and will be added to each model automatically</t>
  </si>
  <si>
    <t>Appendix F. Unanticipated Expenses</t>
  </si>
  <si>
    <t xml:space="preserve">Total </t>
  </si>
  <si>
    <t>Unanticipated Expenses (Appendix F)</t>
  </si>
  <si>
    <t>2016 Enterprise Budget for Small-Scale Hop Producers (10 acres)</t>
  </si>
  <si>
    <t>Acknowledgements: Thanks to Alexander Adams-Harmony Hop Farm, Tom Britz-Glacier Hops Ranch, HopsHarvester LLC, and many others for providing information that improved the accuracy of this enterprise budget.</t>
  </si>
  <si>
    <t>Authors: J Robert Sirrine, Michigan State University Extension; Julian Post, University of Vermont; Dan Wiesen, Empire Hops</t>
  </si>
  <si>
    <t>Capital Purchase and Labor are paid for through a 6.5% interest loan amortized over 5 years (See Appendix D)</t>
  </si>
  <si>
    <t>Sub-Total Capital Purchase &amp; Labor (accounted for in loan- cell B41)</t>
  </si>
  <si>
    <t>Sub-Total Capital Purchase &amp; Labor (accounted for in loan- cell B45)</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</si>
</sst>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8" formatCode="&quot;$&quot;#,##0.00_);[Red]\(&quot;$&quot;#,##0.00\)"/>
    <numFmt numFmtId="44" formatCode="_(&quot;$&quot;* #,##0.00_);_(&quot;$&quot;* \(#,##0.00\);_(&quot;$&quot;* &quot;-&quot;??_);_(@_)"/>
    <numFmt numFmtId="164" formatCode="&quot;$&quot;0.00"/>
    <numFmt numFmtId="165" formatCode="&quot;$&quot;#,##0.00"/>
    <numFmt numFmtId="166" formatCode="&quot;$&quot;#,##0"/>
    <numFmt numFmtId="167" formatCode="_(&quot;$&quot;* #,##0_);_(&quot;$&quot;* \(#,##0\);_(&quot;$&quot;* &quot;-&quot;??_);_(@_)"/>
    <numFmt numFmtId="168" formatCode="0.0%"/>
  </numFmts>
  <fonts count="42" x14ac:knownFonts="1">
    <font>
      <sz val="10"/>
      <color indexed="8"/>
      <name val="Helvetica"/>
    </font>
    <font>
      <sz val="8"/>
      <name val="Helvetica"/>
    </font>
    <font>
      <sz val="12"/>
      <color indexed="8"/>
      <name val="Avenir Next Regular"/>
    </font>
    <font>
      <sz val="10"/>
      <color indexed="8"/>
      <name val="Avenir Next Regular"/>
    </font>
    <font>
      <b/>
      <sz val="13"/>
      <color indexed="9"/>
      <name val="Avenir Next Regular"/>
    </font>
    <font>
      <sz val="11"/>
      <color indexed="8"/>
      <name val="Avenir Next Regular"/>
    </font>
    <font>
      <b/>
      <sz val="11"/>
      <color indexed="8"/>
      <name val="Avenir Next Regular"/>
    </font>
    <font>
      <b/>
      <sz val="10"/>
      <color indexed="8"/>
      <name val="Avenir Next Regular"/>
    </font>
    <font>
      <b/>
      <sz val="14"/>
      <color indexed="8"/>
      <name val="Avenir Next Regular"/>
    </font>
    <font>
      <b/>
      <sz val="18"/>
      <color indexed="13"/>
      <name val="Avenir Next Regular"/>
    </font>
    <font>
      <b/>
      <sz val="14"/>
      <name val="Avenir Next Regular"/>
    </font>
    <font>
      <u/>
      <sz val="10"/>
      <color theme="10"/>
      <name val="Helvetica"/>
    </font>
    <font>
      <u/>
      <sz val="10"/>
      <color theme="11"/>
      <name val="Helvetica"/>
    </font>
    <font>
      <sz val="8"/>
      <color indexed="8"/>
      <name val="Avenir Next Regular"/>
    </font>
    <font>
      <sz val="11"/>
      <name val="Avenir Next Regular"/>
    </font>
    <font>
      <sz val="10"/>
      <name val="Avenir Next Regular"/>
    </font>
    <font>
      <b/>
      <sz val="18"/>
      <color theme="9"/>
      <name val="Avenir Next Regular"/>
    </font>
    <font>
      <sz val="10"/>
      <color indexed="8"/>
      <name val="Helvetica"/>
    </font>
    <font>
      <b/>
      <sz val="12"/>
      <color indexed="8"/>
      <name val="Avenir Next Regular"/>
    </font>
    <font>
      <b/>
      <sz val="13"/>
      <color rgb="FF165778"/>
      <name val="Avenir Next Regular"/>
    </font>
    <font>
      <b/>
      <sz val="12"/>
      <color rgb="FF000000"/>
      <name val="Avenir Next Regular"/>
    </font>
    <font>
      <b/>
      <sz val="18"/>
      <color theme="9" tint="-0.499984740745262"/>
      <name val="Avenir Next Regular"/>
    </font>
    <font>
      <i/>
      <sz val="12"/>
      <color rgb="FF000000"/>
      <name val="Avenir Next Regular"/>
    </font>
    <font>
      <sz val="12"/>
      <color rgb="FF000000"/>
      <name val="Avenir Next Regular"/>
    </font>
    <font>
      <b/>
      <sz val="18"/>
      <color rgb="FF361043"/>
      <name val="Avenir Next Regular"/>
    </font>
    <font>
      <b/>
      <sz val="16"/>
      <color rgb="FF660066"/>
      <name val="Avenir Next Regular"/>
    </font>
    <font>
      <b/>
      <sz val="12"/>
      <color indexed="15"/>
      <name val="Avenir Next Regular"/>
    </font>
    <font>
      <b/>
      <sz val="12"/>
      <name val="Avenir Next Regular"/>
    </font>
    <font>
      <sz val="14"/>
      <color rgb="FF660066"/>
      <name val="Avenir Next Regular"/>
    </font>
    <font>
      <sz val="10"/>
      <color rgb="FF361043"/>
      <name val="Avenir Next Regular"/>
    </font>
    <font>
      <sz val="10"/>
      <color rgb="FFFF0000"/>
      <name val="Helvetica"/>
    </font>
    <font>
      <sz val="11"/>
      <color rgb="FFFF0000"/>
      <name val="Avenir Next Regular"/>
    </font>
    <font>
      <i/>
      <sz val="10"/>
      <color indexed="8"/>
      <name val="Avenir Next Regular"/>
    </font>
    <font>
      <sz val="9"/>
      <color indexed="8"/>
      <name val="Avenir Next Regular"/>
    </font>
    <font>
      <b/>
      <i/>
      <sz val="10"/>
      <color indexed="8"/>
      <name val="Avenir Next Regular"/>
    </font>
    <font>
      <b/>
      <sz val="16"/>
      <color indexed="8"/>
      <name val="Avenir Next Regular"/>
    </font>
    <font>
      <sz val="11"/>
      <color theme="1"/>
      <name val="Avenir Next Regular"/>
    </font>
    <font>
      <sz val="14"/>
      <color rgb="FFFF0000"/>
      <name val="Avenir Next Regular"/>
    </font>
    <font>
      <u/>
      <sz val="9"/>
      <color theme="10"/>
      <name val="Helvetica"/>
    </font>
    <font>
      <i/>
      <sz val="10"/>
      <color indexed="8"/>
      <name val="Helvetica"/>
    </font>
    <font>
      <b/>
      <sz val="12"/>
      <color rgb="FF660066"/>
      <name val="Avenir Next Regular"/>
    </font>
    <font>
      <i/>
      <sz val="9"/>
      <color indexed="8"/>
      <name val="Avenir Next Regular"/>
    </font>
  </fonts>
  <fills count="1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6" tint="0.59999389629810485"/>
        <bgColor indexed="64"/>
      </patternFill>
    </fill>
    <fill>
      <patternFill patternType="solid">
        <fgColor rgb="FFDAEBF3"/>
        <bgColor rgb="FF000000"/>
      </patternFill>
    </fill>
    <fill>
      <patternFill patternType="solid">
        <fgColor rgb="FF92C4DE"/>
        <bgColor rgb="FF000000"/>
      </patternFill>
    </fill>
    <fill>
      <patternFill patternType="solid">
        <fgColor theme="4" tint="0.59999389629810485"/>
        <bgColor indexed="64"/>
      </patternFill>
    </fill>
    <fill>
      <patternFill patternType="solid">
        <fgColor theme="7" tint="0.59999389629810485"/>
        <bgColor indexed="64"/>
      </patternFill>
    </fill>
    <fill>
      <patternFill patternType="solid">
        <fgColor theme="4" tint="0.79998168889431442"/>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149">
    <border>
      <left/>
      <right/>
      <top/>
      <bottom/>
      <diagonal/>
    </border>
    <border>
      <left style="thin">
        <color indexed="11"/>
      </left>
      <right style="thin">
        <color indexed="11"/>
      </right>
      <top style="thin">
        <color indexed="11"/>
      </top>
      <bottom style="thin">
        <color indexed="12"/>
      </bottom>
      <diagonal/>
    </border>
    <border>
      <left style="thin">
        <color indexed="11"/>
      </left>
      <right style="thin">
        <color indexed="12"/>
      </right>
      <top style="thin">
        <color indexed="12"/>
      </top>
      <bottom style="thin">
        <color indexed="11"/>
      </bottom>
      <diagonal/>
    </border>
    <border>
      <left style="thin">
        <color indexed="12"/>
      </left>
      <right style="thin">
        <color indexed="11"/>
      </right>
      <top style="thin">
        <color indexed="12"/>
      </top>
      <bottom style="thin">
        <color indexed="11"/>
      </bottom>
      <diagonal/>
    </border>
    <border>
      <left style="thin">
        <color indexed="11"/>
      </left>
      <right style="thin">
        <color indexed="11"/>
      </right>
      <top style="thin">
        <color indexed="12"/>
      </top>
      <bottom style="thin">
        <color indexed="11"/>
      </bottom>
      <diagonal/>
    </border>
    <border>
      <left style="thin">
        <color indexed="11"/>
      </left>
      <right style="thin">
        <color indexed="12"/>
      </right>
      <top style="thin">
        <color indexed="11"/>
      </top>
      <bottom style="thin">
        <color indexed="11"/>
      </bottom>
      <diagonal/>
    </border>
    <border>
      <left style="thin">
        <color indexed="12"/>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bottom style="thin">
        <color indexed="11"/>
      </bottom>
      <diagonal/>
    </border>
    <border>
      <left style="thin">
        <color indexed="11"/>
      </left>
      <right style="thin">
        <color indexed="11"/>
      </right>
      <top style="thin">
        <color indexed="11"/>
      </top>
      <bottom style="medium">
        <color auto="1"/>
      </bottom>
      <diagonal/>
    </border>
    <border>
      <left style="thin">
        <color indexed="11"/>
      </left>
      <right style="thin">
        <color indexed="11"/>
      </right>
      <top/>
      <bottom style="medium">
        <color auto="1"/>
      </bottom>
      <diagonal/>
    </border>
    <border>
      <left style="thin">
        <color indexed="11"/>
      </left>
      <right/>
      <top style="thin">
        <color indexed="11"/>
      </top>
      <bottom style="thin">
        <color indexed="12"/>
      </bottom>
      <diagonal/>
    </border>
    <border>
      <left style="thin">
        <color indexed="11"/>
      </left>
      <right/>
      <top style="thin">
        <color indexed="11"/>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diagonal/>
    </border>
    <border>
      <left style="thin">
        <color theme="2"/>
      </left>
      <right style="thin">
        <color theme="2"/>
      </right>
      <top style="thin">
        <color theme="2"/>
      </top>
      <bottom style="thin">
        <color theme="2"/>
      </bottom>
      <diagonal/>
    </border>
    <border>
      <left style="thin">
        <color indexed="12"/>
      </left>
      <right style="thin">
        <color indexed="11"/>
      </right>
      <top style="thin">
        <color indexed="11"/>
      </top>
      <bottom/>
      <diagonal/>
    </border>
    <border>
      <left style="thin">
        <color theme="2"/>
      </left>
      <right style="thin">
        <color indexed="11"/>
      </right>
      <top style="thin">
        <color theme="2"/>
      </top>
      <bottom style="thin">
        <color theme="2"/>
      </bottom>
      <diagonal/>
    </border>
    <border>
      <left style="thin">
        <color indexed="12"/>
      </left>
      <right/>
      <top style="thin">
        <color indexed="11"/>
      </top>
      <bottom style="thin">
        <color indexed="11"/>
      </bottom>
      <diagonal/>
    </border>
    <border>
      <left style="thin">
        <color indexed="11"/>
      </left>
      <right style="thin">
        <color indexed="11"/>
      </right>
      <top/>
      <bottom/>
      <diagonal/>
    </border>
    <border>
      <left style="thin">
        <color indexed="11"/>
      </left>
      <right style="thin">
        <color indexed="12"/>
      </right>
      <top/>
      <bottom style="thin">
        <color indexed="11"/>
      </bottom>
      <diagonal/>
    </border>
    <border>
      <left style="thin">
        <color indexed="11"/>
      </left>
      <right/>
      <top style="thin">
        <color indexed="11"/>
      </top>
      <bottom/>
      <diagonal/>
    </border>
    <border>
      <left style="thin">
        <color indexed="12"/>
      </left>
      <right style="thin">
        <color indexed="11"/>
      </right>
      <top/>
      <bottom style="thin">
        <color indexed="11"/>
      </bottom>
      <diagonal/>
    </border>
    <border>
      <left style="thin">
        <color indexed="11"/>
      </left>
      <right style="thin">
        <color indexed="12"/>
      </right>
      <top style="thin">
        <color indexed="11"/>
      </top>
      <bottom style="medium">
        <color auto="1"/>
      </bottom>
      <diagonal/>
    </border>
    <border>
      <left style="thin">
        <color indexed="11"/>
      </left>
      <right style="thin">
        <color indexed="12"/>
      </right>
      <top/>
      <bottom style="medium">
        <color auto="1"/>
      </bottom>
      <diagonal/>
    </border>
    <border>
      <left style="thin">
        <color indexed="11"/>
      </left>
      <right style="thin">
        <color indexed="12"/>
      </right>
      <top style="thin">
        <color indexed="11"/>
      </top>
      <bottom/>
      <diagonal/>
    </border>
    <border>
      <left style="thin">
        <color indexed="11"/>
      </left>
      <right style="thin">
        <color indexed="12"/>
      </right>
      <top style="thin">
        <color auto="1"/>
      </top>
      <bottom style="medium">
        <color auto="1"/>
      </bottom>
      <diagonal/>
    </border>
    <border>
      <left style="thin">
        <color indexed="12"/>
      </left>
      <right style="thin">
        <color indexed="11"/>
      </right>
      <top style="thin">
        <color auto="1"/>
      </top>
      <bottom style="medium">
        <color auto="1"/>
      </bottom>
      <diagonal/>
    </border>
    <border>
      <left style="thin">
        <color theme="2"/>
      </left>
      <right style="thin">
        <color theme="2"/>
      </right>
      <top style="thin">
        <color theme="2"/>
      </top>
      <bottom/>
      <diagonal/>
    </border>
    <border>
      <left style="thin">
        <color theme="2"/>
      </left>
      <right style="thin">
        <color theme="2"/>
      </right>
      <top style="thin">
        <color auto="1"/>
      </top>
      <bottom style="medium">
        <color auto="1"/>
      </bottom>
      <diagonal/>
    </border>
    <border>
      <left style="thin">
        <color indexed="12"/>
      </left>
      <right style="thin">
        <color indexed="11"/>
      </right>
      <top/>
      <bottom style="medium">
        <color auto="1"/>
      </bottom>
      <diagonal/>
    </border>
    <border>
      <left/>
      <right/>
      <top style="thin">
        <color indexed="11"/>
      </top>
      <bottom style="medium">
        <color auto="1"/>
      </bottom>
      <diagonal/>
    </border>
    <border>
      <left style="thin">
        <color rgb="FFA5A5A5"/>
      </left>
      <right style="thin">
        <color rgb="FF3F3F3F"/>
      </right>
      <top style="thin">
        <color rgb="FFA5A5A5"/>
      </top>
      <bottom style="thin">
        <color rgb="FFA5A5A5"/>
      </bottom>
      <diagonal/>
    </border>
    <border>
      <left/>
      <right/>
      <top/>
      <bottom style="medium">
        <color auto="1"/>
      </bottom>
      <diagonal/>
    </border>
    <border>
      <left/>
      <right/>
      <top style="medium">
        <color auto="1"/>
      </top>
      <bottom style="medium">
        <color auto="1"/>
      </bottom>
      <diagonal/>
    </border>
    <border>
      <left style="thin">
        <color indexed="12"/>
      </left>
      <right style="thin">
        <color indexed="11"/>
      </right>
      <top style="thin">
        <color indexed="11"/>
      </top>
      <bottom style="medium">
        <color auto="1"/>
      </bottom>
      <diagonal/>
    </border>
    <border>
      <left style="thin">
        <color indexed="11"/>
      </left>
      <right/>
      <top style="thin">
        <color indexed="11"/>
      </top>
      <bottom style="medium">
        <color auto="1"/>
      </bottom>
      <diagonal/>
    </border>
    <border>
      <left/>
      <right style="thin">
        <color indexed="11"/>
      </right>
      <top/>
      <bottom/>
      <diagonal/>
    </border>
    <border>
      <left style="thin">
        <color indexed="12"/>
      </left>
      <right/>
      <top/>
      <bottom style="medium">
        <color auto="1"/>
      </bottom>
      <diagonal/>
    </border>
    <border>
      <left/>
      <right style="thin">
        <color indexed="11"/>
      </right>
      <top/>
      <bottom style="medium">
        <color auto="1"/>
      </bottom>
      <diagonal/>
    </border>
    <border>
      <left/>
      <right style="thin">
        <color indexed="11"/>
      </right>
      <top style="medium">
        <color auto="1"/>
      </top>
      <bottom style="medium">
        <color auto="1"/>
      </bottom>
      <diagonal/>
    </border>
    <border>
      <left style="thin">
        <color indexed="12"/>
      </left>
      <right/>
      <top style="medium">
        <color auto="1"/>
      </top>
      <bottom style="thin">
        <color indexed="11"/>
      </bottom>
      <diagonal/>
    </border>
    <border>
      <left/>
      <right style="thin">
        <color indexed="11"/>
      </right>
      <top style="medium">
        <color auto="1"/>
      </top>
      <bottom style="thin">
        <color indexed="11"/>
      </bottom>
      <diagonal/>
    </border>
    <border>
      <left/>
      <right style="thin">
        <color auto="1"/>
      </right>
      <top/>
      <bottom/>
      <diagonal/>
    </border>
    <border>
      <left style="thin">
        <color theme="2"/>
      </left>
      <right style="thin">
        <color theme="2"/>
      </right>
      <top style="medium">
        <color auto="1"/>
      </top>
      <bottom style="thin">
        <color theme="2"/>
      </bottom>
      <diagonal/>
    </border>
    <border>
      <left style="thin">
        <color theme="2"/>
      </left>
      <right style="thin">
        <color indexed="11"/>
      </right>
      <top style="medium">
        <color auto="1"/>
      </top>
      <bottom style="thin">
        <color theme="2"/>
      </bottom>
      <diagonal/>
    </border>
    <border>
      <left style="thin">
        <color indexed="12"/>
      </left>
      <right style="thin">
        <color theme="2"/>
      </right>
      <top style="thin">
        <color theme="2"/>
      </top>
      <bottom style="medium">
        <color auto="1"/>
      </bottom>
      <diagonal/>
    </border>
    <border>
      <left style="thin">
        <color theme="2"/>
      </left>
      <right style="thin">
        <color theme="2"/>
      </right>
      <top style="thin">
        <color theme="2"/>
      </top>
      <bottom style="medium">
        <color auto="1"/>
      </bottom>
      <diagonal/>
    </border>
    <border>
      <left style="thin">
        <color theme="2"/>
      </left>
      <right style="thin">
        <color indexed="11"/>
      </right>
      <top style="thin">
        <color theme="2"/>
      </top>
      <bottom style="medium">
        <color auto="1"/>
      </bottom>
      <diagonal/>
    </border>
    <border>
      <left style="thin">
        <color indexed="11"/>
      </left>
      <right/>
      <top/>
      <bottom style="medium">
        <color auto="1"/>
      </bottom>
      <diagonal/>
    </border>
    <border>
      <left style="thin">
        <color indexed="12"/>
      </left>
      <right/>
      <top/>
      <bottom style="thin">
        <color indexed="11"/>
      </bottom>
      <diagonal/>
    </border>
    <border>
      <left/>
      <right style="thin">
        <color indexed="11"/>
      </right>
      <top/>
      <bottom style="thin">
        <color indexed="11"/>
      </bottom>
      <diagonal/>
    </border>
    <border>
      <left style="thin">
        <color indexed="11"/>
      </left>
      <right/>
      <top/>
      <bottom/>
      <diagonal/>
    </border>
    <border>
      <left style="thin">
        <color auto="1"/>
      </left>
      <right/>
      <top style="thin">
        <color theme="2"/>
      </top>
      <bottom style="thin">
        <color theme="2"/>
      </bottom>
      <diagonal/>
    </border>
    <border>
      <left style="thin">
        <color theme="2"/>
      </left>
      <right style="thin">
        <color theme="2"/>
      </right>
      <top style="thin">
        <color auto="1"/>
      </top>
      <bottom/>
      <diagonal/>
    </border>
    <border>
      <left style="thin">
        <color theme="2"/>
      </left>
      <right/>
      <top style="thin">
        <color auto="1"/>
      </top>
      <bottom/>
      <diagonal/>
    </border>
    <border>
      <left style="thin">
        <color indexed="11"/>
      </left>
      <right style="thin">
        <color indexed="12"/>
      </right>
      <top style="thin">
        <color indexed="12"/>
      </top>
      <bottom/>
      <diagonal/>
    </border>
    <border>
      <left/>
      <right/>
      <top style="thin">
        <color indexed="11"/>
      </top>
      <bottom style="thin">
        <color indexed="11"/>
      </bottom>
      <diagonal/>
    </border>
    <border>
      <left style="thin">
        <color indexed="12"/>
      </left>
      <right/>
      <top style="thin">
        <color indexed="11"/>
      </top>
      <bottom/>
      <diagonal/>
    </border>
    <border>
      <left style="thin">
        <color auto="1"/>
      </left>
      <right/>
      <top style="thin">
        <color indexed="11"/>
      </top>
      <bottom style="thin">
        <color indexed="11"/>
      </bottom>
      <diagonal/>
    </border>
    <border>
      <left style="thin">
        <color auto="1"/>
      </left>
      <right style="thin">
        <color theme="2"/>
      </right>
      <top style="thin">
        <color theme="2"/>
      </top>
      <bottom style="thin">
        <color theme="2"/>
      </bottom>
      <diagonal/>
    </border>
    <border>
      <left style="thin">
        <color auto="1"/>
      </left>
      <right style="thin">
        <color theme="2"/>
      </right>
      <top style="thin">
        <color theme="2"/>
      </top>
      <bottom style="thin">
        <color auto="1"/>
      </bottom>
      <diagonal/>
    </border>
    <border>
      <left style="thin">
        <color auto="1"/>
      </left>
      <right style="thin">
        <color theme="2"/>
      </right>
      <top style="medium">
        <color auto="1"/>
      </top>
      <bottom style="thin">
        <color theme="2"/>
      </bottom>
      <diagonal/>
    </border>
    <border>
      <left style="thin">
        <color indexed="12"/>
      </left>
      <right style="thin">
        <color theme="2"/>
      </right>
      <top style="thin">
        <color indexed="11"/>
      </top>
      <bottom style="medium">
        <color auto="1"/>
      </bottom>
      <diagonal/>
    </border>
    <border>
      <left style="thin">
        <color theme="2"/>
      </left>
      <right style="thin">
        <color theme="2"/>
      </right>
      <top style="thin">
        <color indexed="11"/>
      </top>
      <bottom style="medium">
        <color auto="1"/>
      </bottom>
      <diagonal/>
    </border>
    <border>
      <left style="thin">
        <color auto="1"/>
      </left>
      <right/>
      <top style="thin">
        <color theme="2"/>
      </top>
      <bottom style="thin">
        <color indexed="11"/>
      </bottom>
      <diagonal/>
    </border>
    <border>
      <left/>
      <right/>
      <top style="thin">
        <color auto="1"/>
      </top>
      <bottom style="thin">
        <color auto="1"/>
      </bottom>
      <diagonal/>
    </border>
    <border>
      <left/>
      <right/>
      <top/>
      <bottom style="thin">
        <color auto="1"/>
      </bottom>
      <diagonal/>
    </border>
    <border>
      <left style="thin">
        <color indexed="11"/>
      </left>
      <right style="thin">
        <color theme="2"/>
      </right>
      <top style="thin">
        <color indexed="11"/>
      </top>
      <bottom style="thin">
        <color theme="2"/>
      </bottom>
      <diagonal/>
    </border>
    <border>
      <left style="thin">
        <color auto="1"/>
      </left>
      <right/>
      <top style="thin">
        <color theme="2"/>
      </top>
      <bottom/>
      <diagonal/>
    </border>
    <border>
      <left style="thin">
        <color theme="1"/>
      </left>
      <right style="thin">
        <color theme="2"/>
      </right>
      <top style="thin">
        <color theme="2"/>
      </top>
      <bottom style="thin">
        <color theme="2"/>
      </bottom>
      <diagonal/>
    </border>
    <border>
      <left style="thin">
        <color indexed="11"/>
      </left>
      <right style="thin">
        <color theme="1"/>
      </right>
      <top style="thin">
        <color indexed="11"/>
      </top>
      <bottom style="thin">
        <color indexed="11"/>
      </bottom>
      <diagonal/>
    </border>
    <border>
      <left style="thin">
        <color indexed="11"/>
      </left>
      <right style="thin">
        <color indexed="12"/>
      </right>
      <top style="thin">
        <color indexed="11"/>
      </top>
      <bottom style="medium">
        <color theme="1"/>
      </bottom>
      <diagonal/>
    </border>
    <border>
      <left style="thin">
        <color theme="1"/>
      </left>
      <right/>
      <top/>
      <bottom/>
      <diagonal/>
    </border>
    <border>
      <left style="thin">
        <color indexed="12"/>
      </left>
      <right style="thin">
        <color indexed="11"/>
      </right>
      <top style="thin">
        <color indexed="11"/>
      </top>
      <bottom style="thin">
        <color theme="2"/>
      </bottom>
      <diagonal/>
    </border>
    <border>
      <left style="thin">
        <color auto="1"/>
      </left>
      <right style="thin">
        <color theme="2"/>
      </right>
      <top style="thin">
        <color theme="2"/>
      </top>
      <bottom/>
      <diagonal/>
    </border>
    <border>
      <left style="thin">
        <color theme="2"/>
      </left>
      <right/>
      <top style="thin">
        <color theme="2"/>
      </top>
      <bottom style="thin">
        <color theme="2"/>
      </bottom>
      <diagonal/>
    </border>
    <border>
      <left style="thin">
        <color theme="2"/>
      </left>
      <right style="thin">
        <color theme="2"/>
      </right>
      <top/>
      <bottom style="thin">
        <color theme="2"/>
      </bottom>
      <diagonal/>
    </border>
    <border>
      <left style="thin">
        <color indexed="12"/>
      </left>
      <right style="thin">
        <color theme="2"/>
      </right>
      <top style="thin">
        <color theme="1"/>
      </top>
      <bottom style="thin">
        <color indexed="11"/>
      </bottom>
      <diagonal/>
    </border>
    <border>
      <left style="thin">
        <color theme="2"/>
      </left>
      <right style="thin">
        <color theme="2"/>
      </right>
      <top style="thin">
        <color theme="1"/>
      </top>
      <bottom style="thin">
        <color theme="2"/>
      </bottom>
      <diagonal/>
    </border>
    <border>
      <left style="thin">
        <color indexed="11"/>
      </left>
      <right style="thin">
        <color indexed="11"/>
      </right>
      <top style="thin">
        <color indexed="11"/>
      </top>
      <bottom style="thin">
        <color theme="1"/>
      </bottom>
      <diagonal/>
    </border>
    <border>
      <left style="thin">
        <color indexed="11"/>
      </left>
      <right style="thin">
        <color indexed="12"/>
      </right>
      <top style="thin">
        <color indexed="11"/>
      </top>
      <bottom style="thin">
        <color theme="1"/>
      </bottom>
      <diagonal/>
    </border>
    <border>
      <left style="thin">
        <color indexed="12"/>
      </left>
      <right/>
      <top style="thin">
        <color indexed="11"/>
      </top>
      <bottom style="thin">
        <color theme="1"/>
      </bottom>
      <diagonal/>
    </border>
    <border>
      <left style="thin">
        <color rgb="FFA5A5A5"/>
      </left>
      <right style="thin">
        <color indexed="12"/>
      </right>
      <top style="thin">
        <color rgb="FFA5A5A5"/>
      </top>
      <bottom style="thin">
        <color theme="1"/>
      </bottom>
      <diagonal/>
    </border>
    <border>
      <left style="thin">
        <color theme="2"/>
      </left>
      <right style="thin">
        <color theme="2"/>
      </right>
      <top style="thin">
        <color theme="1"/>
      </top>
      <bottom style="thin">
        <color indexed="11"/>
      </bottom>
      <diagonal/>
    </border>
    <border>
      <left style="thin">
        <color indexed="12"/>
      </left>
      <right/>
      <top style="thin">
        <color theme="1"/>
      </top>
      <bottom style="thin">
        <color indexed="11"/>
      </bottom>
      <diagonal/>
    </border>
    <border>
      <left style="thin">
        <color indexed="11"/>
      </left>
      <right style="thin">
        <color indexed="12"/>
      </right>
      <top style="thin">
        <color theme="1"/>
      </top>
      <bottom style="thin">
        <color indexed="11"/>
      </bottom>
      <diagonal/>
    </border>
    <border>
      <left style="thin">
        <color indexed="12"/>
      </left>
      <right style="thin">
        <color indexed="11"/>
      </right>
      <top style="thin">
        <color theme="1"/>
      </top>
      <bottom style="thin">
        <color indexed="11"/>
      </bottom>
      <diagonal/>
    </border>
    <border>
      <left style="thin">
        <color indexed="11"/>
      </left>
      <right style="thin">
        <color indexed="12"/>
      </right>
      <top style="thin">
        <color theme="1"/>
      </top>
      <bottom style="thin">
        <color theme="1"/>
      </bottom>
      <diagonal/>
    </border>
    <border>
      <left style="thin">
        <color indexed="12"/>
      </left>
      <right/>
      <top style="thin">
        <color theme="1"/>
      </top>
      <bottom style="thin">
        <color theme="1"/>
      </bottom>
      <diagonal/>
    </border>
    <border>
      <left style="thin">
        <color theme="2"/>
      </left>
      <right style="thin">
        <color theme="2"/>
      </right>
      <top style="thin">
        <color theme="1"/>
      </top>
      <bottom style="thin">
        <color theme="1"/>
      </bottom>
      <diagonal/>
    </border>
    <border>
      <left style="thin">
        <color theme="2"/>
      </left>
      <right style="thin">
        <color theme="2"/>
      </right>
      <top/>
      <bottom style="thin">
        <color indexed="11"/>
      </bottom>
      <diagonal/>
    </border>
    <border>
      <left style="thin">
        <color indexed="11"/>
      </left>
      <right/>
      <top style="thin">
        <color indexed="12"/>
      </top>
      <bottom/>
      <diagonal/>
    </border>
    <border>
      <left/>
      <right/>
      <top style="thin">
        <color indexed="12"/>
      </top>
      <bottom/>
      <diagonal/>
    </border>
    <border>
      <left/>
      <right style="thin">
        <color indexed="11"/>
      </right>
      <top style="thin">
        <color indexed="12"/>
      </top>
      <bottom/>
      <diagonal/>
    </border>
    <border>
      <left style="thin">
        <color theme="1"/>
      </left>
      <right/>
      <top style="thin">
        <color theme="2"/>
      </top>
      <bottom style="thin">
        <color theme="2"/>
      </bottom>
      <diagonal/>
    </border>
    <border>
      <left style="thin">
        <color theme="2"/>
      </left>
      <right/>
      <top style="thin">
        <color theme="2"/>
      </top>
      <bottom/>
      <diagonal/>
    </border>
    <border>
      <left style="thin">
        <color theme="2"/>
      </left>
      <right/>
      <top style="thin">
        <color auto="1"/>
      </top>
      <bottom style="medium">
        <color auto="1"/>
      </bottom>
      <diagonal/>
    </border>
    <border>
      <left style="thin">
        <color theme="2"/>
      </left>
      <right/>
      <top style="thin">
        <color theme="1"/>
      </top>
      <bottom style="thin">
        <color theme="2"/>
      </bottom>
      <diagonal/>
    </border>
    <border>
      <left style="thin">
        <color indexed="11"/>
      </left>
      <right/>
      <top/>
      <bottom style="thin">
        <color indexed="11"/>
      </bottom>
      <diagonal/>
    </border>
    <border>
      <left style="thin">
        <color indexed="11"/>
      </left>
      <right/>
      <top style="thin">
        <color indexed="11"/>
      </top>
      <bottom style="thin">
        <color theme="1"/>
      </bottom>
      <diagonal/>
    </border>
    <border>
      <left style="thin">
        <color theme="2"/>
      </left>
      <right/>
      <top style="thin">
        <color theme="1"/>
      </top>
      <bottom style="thin">
        <color indexed="11"/>
      </bottom>
      <diagonal/>
    </border>
    <border>
      <left style="thin">
        <color theme="2"/>
      </left>
      <right/>
      <top/>
      <bottom style="thin">
        <color indexed="11"/>
      </bottom>
      <diagonal/>
    </border>
    <border>
      <left style="thin">
        <color theme="2"/>
      </left>
      <right/>
      <top style="thin">
        <color indexed="11"/>
      </top>
      <bottom style="medium">
        <color auto="1"/>
      </bottom>
      <diagonal/>
    </border>
    <border>
      <left style="thin">
        <color auto="1"/>
      </left>
      <right style="thin">
        <color indexed="11"/>
      </right>
      <top style="medium">
        <color auto="1"/>
      </top>
      <bottom style="thin">
        <color indexed="12"/>
      </bottom>
      <diagonal/>
    </border>
    <border>
      <left style="thin">
        <color auto="1"/>
      </left>
      <right style="thin">
        <color indexed="11"/>
      </right>
      <top style="thin">
        <color indexed="11"/>
      </top>
      <bottom style="thin">
        <color indexed="11"/>
      </bottom>
      <diagonal/>
    </border>
    <border>
      <left style="thin">
        <color auto="1"/>
      </left>
      <right style="thin">
        <color indexed="11"/>
      </right>
      <top style="thin">
        <color indexed="11"/>
      </top>
      <bottom/>
      <diagonal/>
    </border>
    <border>
      <left style="thin">
        <color auto="1"/>
      </left>
      <right style="thin">
        <color indexed="11"/>
      </right>
      <top style="thin">
        <color theme="1"/>
      </top>
      <bottom style="thin">
        <color indexed="11"/>
      </bottom>
      <diagonal/>
    </border>
    <border>
      <left style="thin">
        <color auto="1"/>
      </left>
      <right style="thin">
        <color indexed="11"/>
      </right>
      <top/>
      <bottom style="thin">
        <color indexed="11"/>
      </bottom>
      <diagonal/>
    </border>
    <border>
      <left style="thin">
        <color auto="1"/>
      </left>
      <right style="thin">
        <color indexed="11"/>
      </right>
      <top style="thin">
        <color indexed="11"/>
      </top>
      <bottom style="thin">
        <color theme="1"/>
      </bottom>
      <diagonal/>
    </border>
    <border>
      <left style="thin">
        <color auto="1"/>
      </left>
      <right style="thin">
        <color theme="2"/>
      </right>
      <top style="thin">
        <color theme="1"/>
      </top>
      <bottom style="thin">
        <color indexed="11"/>
      </bottom>
      <diagonal/>
    </border>
    <border>
      <left style="thin">
        <color auto="1"/>
      </left>
      <right style="thin">
        <color theme="2"/>
      </right>
      <top style="thin">
        <color indexed="11"/>
      </top>
      <bottom style="thin">
        <color indexed="11"/>
      </bottom>
      <diagonal/>
    </border>
    <border>
      <left style="thin">
        <color theme="2"/>
      </left>
      <right/>
      <top/>
      <bottom style="thin">
        <color theme="2"/>
      </bottom>
      <diagonal/>
    </border>
    <border>
      <left style="thin">
        <color theme="2"/>
      </left>
      <right/>
      <top style="thin">
        <color theme="1"/>
      </top>
      <bottom style="thin">
        <color theme="1"/>
      </bottom>
      <diagonal/>
    </border>
    <border>
      <left/>
      <right/>
      <top style="thin">
        <color indexed="11"/>
      </top>
      <bottom/>
      <diagonal/>
    </border>
    <border>
      <left style="thin">
        <color auto="1"/>
      </left>
      <right style="thin">
        <color theme="2"/>
      </right>
      <top/>
      <bottom style="thin">
        <color theme="2"/>
      </bottom>
      <diagonal/>
    </border>
    <border>
      <left style="thin">
        <color auto="1"/>
      </left>
      <right/>
      <top/>
      <bottom/>
      <diagonal/>
    </border>
    <border>
      <left/>
      <right/>
      <top/>
      <bottom style="thin">
        <color theme="2"/>
      </bottom>
      <diagonal/>
    </border>
    <border>
      <left style="thin">
        <color theme="1"/>
      </left>
      <right style="thin">
        <color theme="2"/>
      </right>
      <top style="thin">
        <color auto="1"/>
      </top>
      <bottom/>
      <diagonal/>
    </border>
    <border>
      <left style="thin">
        <color theme="2"/>
      </left>
      <right style="thin">
        <color theme="1"/>
      </right>
      <top style="thin">
        <color auto="1"/>
      </top>
      <bottom/>
      <diagonal/>
    </border>
    <border>
      <left/>
      <right style="thin">
        <color theme="2"/>
      </right>
      <top style="thin">
        <color auto="1"/>
      </top>
      <bottom/>
      <diagonal/>
    </border>
    <border>
      <left style="thin">
        <color auto="1"/>
      </left>
      <right style="thin">
        <color theme="2"/>
      </right>
      <top style="thin">
        <color auto="1"/>
      </top>
      <bottom/>
      <diagonal/>
    </border>
    <border>
      <left style="thin">
        <color theme="2"/>
      </left>
      <right style="thin">
        <color auto="1"/>
      </right>
      <top style="thin">
        <color auto="1"/>
      </top>
      <bottom/>
      <diagonal/>
    </border>
    <border>
      <left style="thin">
        <color theme="2"/>
      </left>
      <right style="thin">
        <color theme="1"/>
      </right>
      <top style="thin">
        <color theme="2"/>
      </top>
      <bottom style="thin">
        <color theme="2"/>
      </bottom>
      <diagonal/>
    </border>
    <border>
      <left/>
      <right style="thin">
        <color theme="2"/>
      </right>
      <top style="thin">
        <color theme="2"/>
      </top>
      <bottom style="thin">
        <color theme="2"/>
      </bottom>
      <diagonal/>
    </border>
    <border>
      <left style="thin">
        <color theme="2"/>
      </left>
      <right style="thin">
        <color auto="1"/>
      </right>
      <top style="thin">
        <color theme="2"/>
      </top>
      <bottom style="thin">
        <color theme="2"/>
      </bottom>
      <diagonal/>
    </border>
    <border>
      <left style="thin">
        <color theme="1"/>
      </left>
      <right style="thin">
        <color indexed="11"/>
      </right>
      <top style="thin">
        <color theme="2"/>
      </top>
      <bottom style="medium">
        <color auto="1"/>
      </bottom>
      <diagonal/>
    </border>
    <border>
      <left style="thin">
        <color indexed="11"/>
      </left>
      <right style="thin">
        <color theme="1"/>
      </right>
      <top/>
      <bottom style="medium">
        <color auto="1"/>
      </bottom>
      <diagonal/>
    </border>
    <border>
      <left/>
      <right style="thin">
        <color indexed="11"/>
      </right>
      <top style="thin">
        <color theme="2"/>
      </top>
      <bottom style="medium">
        <color auto="1"/>
      </bottom>
      <diagonal/>
    </border>
    <border>
      <left style="thin">
        <color auto="1"/>
      </left>
      <right style="thin">
        <color indexed="11"/>
      </right>
      <top style="thin">
        <color theme="2"/>
      </top>
      <bottom style="medium">
        <color auto="1"/>
      </bottom>
      <diagonal/>
    </border>
    <border>
      <left style="thin">
        <color indexed="11"/>
      </left>
      <right style="thin">
        <color auto="1"/>
      </right>
      <top/>
      <bottom style="medium">
        <color auto="1"/>
      </bottom>
      <diagonal/>
    </border>
    <border>
      <left style="thin">
        <color theme="1"/>
      </left>
      <right/>
      <top/>
      <bottom style="medium">
        <color auto="1"/>
      </bottom>
      <diagonal/>
    </border>
    <border>
      <left/>
      <right style="thin">
        <color theme="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thin">
        <color theme="1"/>
      </bottom>
      <diagonal/>
    </border>
    <border>
      <left/>
      <right style="thin">
        <color auto="1"/>
      </right>
      <top style="thin">
        <color theme="2"/>
      </top>
      <bottom style="thin">
        <color theme="2"/>
      </bottom>
      <diagonal/>
    </border>
    <border>
      <left style="thin">
        <color theme="2"/>
      </left>
      <right style="thin">
        <color auto="1"/>
      </right>
      <top style="thin">
        <color theme="2"/>
      </top>
      <bottom style="thin">
        <color theme="1"/>
      </bottom>
      <diagonal/>
    </border>
    <border>
      <left style="thin">
        <color indexed="11"/>
      </left>
      <right/>
      <top/>
      <bottom style="thin">
        <color theme="1"/>
      </bottom>
      <diagonal/>
    </border>
    <border>
      <left style="thin">
        <color theme="2"/>
      </left>
      <right style="thin">
        <color indexed="11"/>
      </right>
      <top style="thin">
        <color theme="2"/>
      </top>
      <bottom style="thin">
        <color theme="1"/>
      </bottom>
      <diagonal/>
    </border>
    <border>
      <left style="thin">
        <color theme="2"/>
      </left>
      <right/>
      <top/>
      <bottom/>
      <diagonal/>
    </border>
    <border>
      <left style="thin">
        <color auto="1"/>
      </left>
      <right/>
      <top style="thin">
        <color theme="2"/>
      </top>
      <bottom style="thin">
        <color auto="1"/>
      </bottom>
      <diagonal/>
    </border>
    <border>
      <left style="thin">
        <color theme="2"/>
      </left>
      <right style="thin">
        <color indexed="11"/>
      </right>
      <top/>
      <bottom style="thin">
        <color theme="1"/>
      </bottom>
      <diagonal/>
    </border>
    <border>
      <left style="thin">
        <color theme="2"/>
      </left>
      <right style="thin">
        <color auto="1"/>
      </right>
      <top/>
      <bottom style="thin">
        <color theme="1"/>
      </bottom>
      <diagonal/>
    </border>
    <border>
      <left style="thin">
        <color auto="1"/>
      </left>
      <right/>
      <top/>
      <bottom style="thin">
        <color auto="1"/>
      </bottom>
      <diagonal/>
    </border>
    <border>
      <left style="thin">
        <color indexed="11"/>
      </left>
      <right style="thin">
        <color auto="1"/>
      </right>
      <top style="thin">
        <color indexed="11"/>
      </top>
      <bottom style="thin">
        <color indexed="11"/>
      </bottom>
      <diagonal/>
    </border>
    <border>
      <left/>
      <right style="thin">
        <color theme="2"/>
      </right>
      <top style="thin">
        <color indexed="11"/>
      </top>
      <bottom style="thin">
        <color indexed="11"/>
      </bottom>
      <diagonal/>
    </border>
    <border>
      <left style="thin">
        <color theme="2"/>
      </left>
      <right style="thin">
        <color theme="2"/>
      </right>
      <top style="thin">
        <color indexed="11"/>
      </top>
      <bottom style="thin">
        <color indexed="11"/>
      </bottom>
      <diagonal/>
    </border>
    <border>
      <left style="thin">
        <color theme="2"/>
      </left>
      <right/>
      <top style="thin">
        <color indexed="11"/>
      </top>
      <bottom style="thin">
        <color indexed="11"/>
      </bottom>
      <diagonal/>
    </border>
  </borders>
  <cellStyleXfs count="116">
    <xf numFmtId="0" fontId="0" fillId="0" borderId="0" applyNumberFormat="0" applyFill="0" applyBorder="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44" fontId="17" fillId="0" borderId="0" applyFont="0" applyFill="0" applyBorder="0" applyAlignment="0" applyProtection="0"/>
    <xf numFmtId="9" fontId="17" fillId="0" borderId="0" applyFont="0" applyFill="0" applyBorder="0" applyAlignment="0" applyProtection="0"/>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xf numFmtId="0" fontId="12" fillId="0" borderId="0" applyNumberFormat="0" applyFill="0" applyBorder="0" applyAlignment="0" applyProtection="0">
      <alignment vertical="top" wrapText="1"/>
    </xf>
    <xf numFmtId="0" fontId="11" fillId="0" borderId="0" applyNumberFormat="0" applyFill="0" applyBorder="0" applyAlignment="0" applyProtection="0">
      <alignment vertical="top" wrapText="1"/>
    </xf>
  </cellStyleXfs>
  <cellXfs count="426">
    <xf numFmtId="0" fontId="0" fillId="0" borderId="0" xfId="0" applyFont="1" applyAlignment="1">
      <alignment vertical="top" wrapText="1"/>
    </xf>
    <xf numFmtId="0" fontId="3" fillId="0" borderId="0" xfId="0" applyNumberFormat="1" applyFont="1" applyAlignment="1">
      <alignment vertical="top" wrapText="1"/>
    </xf>
    <xf numFmtId="0" fontId="3" fillId="0" borderId="0" xfId="0" applyFont="1" applyAlignment="1">
      <alignment vertical="top" wrapText="1"/>
    </xf>
    <xf numFmtId="0" fontId="3" fillId="0" borderId="4" xfId="0" applyFont="1" applyBorder="1" applyAlignment="1">
      <alignment vertical="top" wrapText="1"/>
    </xf>
    <xf numFmtId="0" fontId="3" fillId="0" borderId="7" xfId="0" applyFont="1" applyBorder="1" applyAlignment="1">
      <alignment vertical="top" wrapText="1"/>
    </xf>
    <xf numFmtId="164" fontId="3" fillId="0" borderId="7" xfId="0" applyNumberFormat="1" applyFont="1" applyBorder="1" applyAlignment="1">
      <alignment vertical="top" wrapText="1"/>
    </xf>
    <xf numFmtId="164" fontId="7" fillId="0" borderId="7" xfId="0" applyNumberFormat="1" applyFont="1" applyBorder="1" applyAlignment="1">
      <alignment vertical="top" wrapText="1"/>
    </xf>
    <xf numFmtId="49" fontId="5" fillId="3" borderId="5" xfId="0" applyNumberFormat="1" applyFont="1" applyFill="1" applyBorder="1" applyAlignment="1">
      <alignment horizontal="left" vertical="top" wrapText="1"/>
    </xf>
    <xf numFmtId="49" fontId="4" fillId="3" borderId="5" xfId="0" applyNumberFormat="1" applyFont="1" applyFill="1" applyBorder="1" applyAlignment="1">
      <alignment horizontal="left" vertical="center" wrapText="1"/>
    </xf>
    <xf numFmtId="0" fontId="3" fillId="0" borderId="3" xfId="0" applyFont="1" applyBorder="1" applyAlignment="1">
      <alignment vertical="top" wrapText="1"/>
    </xf>
    <xf numFmtId="164" fontId="3" fillId="0" borderId="4" xfId="0" applyNumberFormat="1" applyFont="1" applyBorder="1" applyAlignment="1">
      <alignment vertical="top" wrapText="1"/>
    </xf>
    <xf numFmtId="0" fontId="3" fillId="0" borderId="6" xfId="0" applyNumberFormat="1" applyFont="1" applyBorder="1" applyAlignment="1">
      <alignment vertical="top" wrapText="1"/>
    </xf>
    <xf numFmtId="49" fontId="3" fillId="0" borderId="7" xfId="0" applyNumberFormat="1" applyFont="1" applyBorder="1" applyAlignment="1">
      <alignment vertical="top" wrapText="1"/>
    </xf>
    <xf numFmtId="0" fontId="3" fillId="0" borderId="6" xfId="0" applyFont="1" applyBorder="1" applyAlignment="1">
      <alignment vertical="top" wrapText="1"/>
    </xf>
    <xf numFmtId="0" fontId="3" fillId="0" borderId="7" xfId="0" applyNumberFormat="1" applyFont="1" applyBorder="1" applyAlignment="1">
      <alignment horizontal="left" vertical="top" wrapText="1"/>
    </xf>
    <xf numFmtId="49" fontId="3" fillId="0" borderId="7" xfId="0" applyNumberFormat="1" applyFont="1" applyBorder="1" applyAlignment="1">
      <alignment horizontal="left" vertical="top" wrapText="1"/>
    </xf>
    <xf numFmtId="0" fontId="3" fillId="0" borderId="7" xfId="0" applyFont="1" applyBorder="1" applyAlignment="1">
      <alignment horizontal="left" vertical="top" wrapText="1"/>
    </xf>
    <xf numFmtId="0" fontId="3" fillId="0" borderId="6" xfId="0" applyNumberFormat="1" applyFont="1" applyFill="1" applyBorder="1" applyAlignment="1">
      <alignment vertical="top" wrapText="1"/>
    </xf>
    <xf numFmtId="0" fontId="3" fillId="0" borderId="7" xfId="0" applyNumberFormat="1" applyFont="1" applyBorder="1" applyAlignment="1">
      <alignment vertical="top" wrapText="1"/>
    </xf>
    <xf numFmtId="164" fontId="3" fillId="0" borderId="12" xfId="0" applyNumberFormat="1" applyFont="1" applyBorder="1" applyAlignment="1">
      <alignment vertical="top" wrapText="1"/>
    </xf>
    <xf numFmtId="0" fontId="3" fillId="0" borderId="13" xfId="0" applyFont="1" applyBorder="1" applyAlignment="1">
      <alignment vertical="top" wrapText="1"/>
    </xf>
    <xf numFmtId="164" fontId="3" fillId="0" borderId="9" xfId="0" applyNumberFormat="1" applyFont="1" applyBorder="1" applyAlignment="1">
      <alignment vertical="top" wrapText="1"/>
    </xf>
    <xf numFmtId="0" fontId="3" fillId="0" borderId="14" xfId="0" applyFont="1" applyBorder="1" applyAlignment="1">
      <alignment vertical="top" wrapText="1"/>
    </xf>
    <xf numFmtId="165" fontId="3" fillId="0" borderId="15" xfId="0" applyNumberFormat="1" applyFont="1" applyBorder="1" applyAlignment="1">
      <alignment vertical="top" wrapText="1"/>
    </xf>
    <xf numFmtId="164" fontId="3" fillId="0" borderId="7" xfId="0" applyNumberFormat="1" applyFont="1" applyBorder="1" applyAlignment="1">
      <alignment horizontal="left" vertical="top" wrapText="1"/>
    </xf>
    <xf numFmtId="164" fontId="7" fillId="4" borderId="8" xfId="0" applyNumberFormat="1" applyFont="1" applyFill="1" applyBorder="1" applyAlignment="1">
      <alignment vertical="top" wrapText="1"/>
    </xf>
    <xf numFmtId="0" fontId="3" fillId="0" borderId="9" xfId="0" applyFont="1" applyBorder="1" applyAlignment="1">
      <alignment vertical="top" wrapText="1"/>
    </xf>
    <xf numFmtId="0" fontId="7" fillId="0" borderId="9" xfId="0" applyNumberFormat="1" applyFont="1" applyBorder="1" applyAlignment="1">
      <alignment vertical="top" wrapText="1"/>
    </xf>
    <xf numFmtId="49" fontId="3" fillId="0" borderId="13" xfId="0" applyNumberFormat="1" applyFont="1" applyBorder="1" applyAlignment="1">
      <alignment horizontal="left" vertical="top" wrapText="1"/>
    </xf>
    <xf numFmtId="0" fontId="3" fillId="0" borderId="10" xfId="0" applyFont="1" applyBorder="1" applyAlignment="1">
      <alignment vertical="top" wrapText="1"/>
    </xf>
    <xf numFmtId="6" fontId="3" fillId="0" borderId="15" xfId="0" applyNumberFormat="1" applyFont="1" applyBorder="1" applyAlignment="1">
      <alignment vertical="top" wrapText="1"/>
    </xf>
    <xf numFmtId="165" fontId="3" fillId="0" borderId="16" xfId="0" applyNumberFormat="1" applyFont="1" applyBorder="1" applyAlignment="1">
      <alignment vertical="top" wrapText="1"/>
    </xf>
    <xf numFmtId="49" fontId="8" fillId="3" borderId="23" xfId="0" applyNumberFormat="1" applyFont="1" applyFill="1" applyBorder="1" applyAlignment="1">
      <alignment horizontal="left" vertical="top" wrapText="1"/>
    </xf>
    <xf numFmtId="0" fontId="3" fillId="0" borderId="15" xfId="0" applyNumberFormat="1" applyFont="1" applyBorder="1" applyAlignment="1">
      <alignment vertical="top" wrapText="1"/>
    </xf>
    <xf numFmtId="164" fontId="7" fillId="0" borderId="8" xfId="0" applyNumberFormat="1" applyFont="1" applyBorder="1" applyAlignment="1">
      <alignment vertical="top" wrapText="1"/>
    </xf>
    <xf numFmtId="0" fontId="3" fillId="0" borderId="35" xfId="0" applyNumberFormat="1" applyFont="1" applyBorder="1" applyAlignment="1">
      <alignment vertical="top" wrapText="1"/>
    </xf>
    <xf numFmtId="164" fontId="3" fillId="0" borderId="10" xfId="0" applyNumberFormat="1" applyFont="1" applyBorder="1" applyAlignment="1">
      <alignment vertical="top" wrapText="1"/>
    </xf>
    <xf numFmtId="164" fontId="7" fillId="4" borderId="9" xfId="0" applyNumberFormat="1" applyFont="1" applyFill="1" applyBorder="1" applyAlignment="1">
      <alignment vertical="top" wrapText="1"/>
    </xf>
    <xf numFmtId="0" fontId="3" fillId="0" borderId="35" xfId="0" applyFont="1" applyBorder="1" applyAlignment="1">
      <alignment vertical="top" wrapText="1"/>
    </xf>
    <xf numFmtId="0" fontId="6" fillId="10" borderId="24"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49" fontId="5" fillId="9" borderId="11" xfId="0" applyNumberFormat="1" applyFont="1" applyFill="1" applyBorder="1" applyAlignment="1">
      <alignment horizontal="left" vertical="center" wrapText="1"/>
    </xf>
    <xf numFmtId="49" fontId="5" fillId="3" borderId="23" xfId="0" applyNumberFormat="1" applyFont="1" applyFill="1" applyBorder="1" applyAlignment="1">
      <alignment horizontal="left" vertical="top" wrapText="1"/>
    </xf>
    <xf numFmtId="49" fontId="27" fillId="2" borderId="1" xfId="0" applyNumberFormat="1" applyFont="1" applyFill="1" applyBorder="1" applyAlignment="1">
      <alignment horizontal="center" vertical="top" wrapText="1"/>
    </xf>
    <xf numFmtId="0" fontId="3" fillId="0" borderId="16" xfId="0" applyNumberFormat="1" applyFont="1" applyBorder="1" applyAlignment="1">
      <alignment vertical="top" wrapText="1"/>
    </xf>
    <xf numFmtId="164" fontId="3" fillId="0" borderId="21" xfId="0" applyNumberFormat="1" applyFont="1" applyBorder="1" applyAlignment="1">
      <alignment vertical="top" wrapText="1"/>
    </xf>
    <xf numFmtId="164" fontId="3" fillId="0" borderId="14" xfId="0" applyNumberFormat="1" applyFont="1" applyBorder="1" applyAlignment="1">
      <alignment vertical="top" wrapText="1"/>
    </xf>
    <xf numFmtId="0" fontId="3" fillId="0" borderId="30" xfId="0" applyFont="1" applyBorder="1" applyAlignment="1">
      <alignment vertical="top" wrapText="1"/>
    </xf>
    <xf numFmtId="0" fontId="3" fillId="0" borderId="15" xfId="0" applyNumberFormat="1" applyFont="1" applyFill="1" applyBorder="1" applyAlignment="1">
      <alignment vertical="top" wrapText="1"/>
    </xf>
    <xf numFmtId="164" fontId="3" fillId="0" borderId="17" xfId="0" applyNumberFormat="1" applyFont="1" applyBorder="1" applyAlignment="1">
      <alignment vertical="top" wrapText="1"/>
    </xf>
    <xf numFmtId="0" fontId="7" fillId="3" borderId="23" xfId="0" applyFont="1" applyFill="1" applyBorder="1" applyAlignment="1">
      <alignment vertical="top" wrapText="1"/>
    </xf>
    <xf numFmtId="49" fontId="26" fillId="3" borderId="21" xfId="0" applyNumberFormat="1" applyFont="1" applyFill="1" applyBorder="1" applyAlignment="1">
      <alignment vertical="top" wrapText="1"/>
    </xf>
    <xf numFmtId="164" fontId="7" fillId="4" borderId="45" xfId="0" applyNumberFormat="1" applyFont="1" applyFill="1" applyBorder="1" applyAlignment="1">
      <alignment vertical="top" wrapText="1"/>
    </xf>
    <xf numFmtId="0" fontId="3" fillId="0" borderId="46" xfId="0" applyFont="1" applyBorder="1" applyAlignment="1">
      <alignment vertical="top" wrapText="1"/>
    </xf>
    <xf numFmtId="0" fontId="3" fillId="0" borderId="47" xfId="0" applyFont="1" applyBorder="1" applyAlignment="1">
      <alignment vertical="top" wrapText="1"/>
    </xf>
    <xf numFmtId="164" fontId="3" fillId="0" borderId="48" xfId="0" applyNumberFormat="1" applyFont="1" applyBorder="1" applyAlignment="1">
      <alignment vertical="top" wrapText="1"/>
    </xf>
    <xf numFmtId="0" fontId="8" fillId="10" borderId="49" xfId="0" applyFont="1" applyFill="1" applyBorder="1" applyAlignment="1">
      <alignment horizontal="left" vertical="center" wrapText="1"/>
    </xf>
    <xf numFmtId="49" fontId="7" fillId="0" borderId="50" xfId="0" applyNumberFormat="1" applyFont="1" applyBorder="1" applyAlignment="1">
      <alignment horizontal="left" vertical="top" wrapText="1"/>
    </xf>
    <xf numFmtId="49" fontId="7" fillId="0" borderId="51" xfId="0" applyNumberFormat="1" applyFont="1" applyBorder="1" applyAlignment="1">
      <alignment horizontal="left" vertical="top" wrapText="1"/>
    </xf>
    <xf numFmtId="49" fontId="7" fillId="4" borderId="50" xfId="0" applyNumberFormat="1" applyFont="1" applyFill="1" applyBorder="1" applyAlignment="1">
      <alignment horizontal="left" vertical="top" wrapText="1"/>
    </xf>
    <xf numFmtId="49" fontId="7" fillId="4" borderId="51" xfId="0" applyNumberFormat="1" applyFont="1" applyFill="1" applyBorder="1" applyAlignment="1">
      <alignment horizontal="left" vertical="top" wrapText="1"/>
    </xf>
    <xf numFmtId="49" fontId="7" fillId="0" borderId="37" xfId="0" applyNumberFormat="1" applyFont="1" applyFill="1" applyBorder="1" applyAlignment="1">
      <alignment vertical="top" wrapText="1"/>
    </xf>
    <xf numFmtId="49" fontId="7" fillId="0" borderId="19" xfId="0" applyNumberFormat="1" applyFont="1" applyFill="1" applyBorder="1" applyAlignment="1">
      <alignment horizontal="center" vertical="top" wrapText="1"/>
    </xf>
    <xf numFmtId="49" fontId="7" fillId="0" borderId="19" xfId="0" applyNumberFormat="1" applyFont="1" applyFill="1" applyBorder="1" applyAlignment="1">
      <alignment vertical="top" wrapText="1"/>
    </xf>
    <xf numFmtId="0" fontId="3" fillId="10" borderId="38" xfId="0" applyFont="1" applyFill="1" applyBorder="1" applyAlignment="1">
      <alignment vertical="center" wrapText="1"/>
    </xf>
    <xf numFmtId="0" fontId="3" fillId="10" borderId="34" xfId="0" applyFont="1" applyFill="1" applyBorder="1" applyAlignment="1">
      <alignment vertical="center" wrapText="1"/>
    </xf>
    <xf numFmtId="49" fontId="7" fillId="10" borderId="34" xfId="0" applyNumberFormat="1" applyFont="1" applyFill="1" applyBorder="1" applyAlignment="1">
      <alignment vertical="center" wrapText="1"/>
    </xf>
    <xf numFmtId="6" fontId="3" fillId="0" borderId="15" xfId="0" applyNumberFormat="1" applyFont="1" applyFill="1" applyBorder="1" applyAlignment="1">
      <alignment vertical="top" wrapText="1"/>
    </xf>
    <xf numFmtId="0" fontId="3" fillId="0" borderId="15" xfId="0" applyFont="1" applyFill="1" applyBorder="1" applyAlignment="1">
      <alignment vertical="top" wrapText="1"/>
    </xf>
    <xf numFmtId="3" fontId="3" fillId="0" borderId="15" xfId="0" applyNumberFormat="1" applyFont="1" applyFill="1" applyBorder="1" applyAlignment="1">
      <alignment vertical="top" wrapText="1"/>
    </xf>
    <xf numFmtId="49" fontId="18" fillId="10" borderId="10" xfId="0" applyNumberFormat="1" applyFont="1" applyFill="1" applyBorder="1" applyAlignment="1">
      <alignment vertical="top" wrapText="1"/>
    </xf>
    <xf numFmtId="49" fontId="18" fillId="10" borderId="49" xfId="0" applyNumberFormat="1" applyFont="1" applyFill="1" applyBorder="1" applyAlignment="1">
      <alignment vertical="top" wrapText="1"/>
    </xf>
    <xf numFmtId="49" fontId="18" fillId="10" borderId="34" xfId="0" applyNumberFormat="1" applyFont="1" applyFill="1" applyBorder="1" applyAlignment="1">
      <alignment vertical="top" wrapText="1"/>
    </xf>
    <xf numFmtId="49" fontId="2" fillId="9" borderId="54" xfId="0" applyNumberFormat="1" applyFont="1" applyFill="1" applyBorder="1" applyAlignment="1">
      <alignment horizontal="left" vertical="center" wrapText="1"/>
    </xf>
    <xf numFmtId="0" fontId="5" fillId="3" borderId="24" xfId="0" applyNumberFormat="1" applyFont="1" applyFill="1" applyBorder="1" applyAlignment="1">
      <alignment horizontal="left" vertical="top" wrapText="1"/>
    </xf>
    <xf numFmtId="49" fontId="6" fillId="3" borderId="53" xfId="0" applyNumberFormat="1" applyFont="1" applyFill="1" applyBorder="1" applyAlignment="1">
      <alignment horizontal="left" vertical="top" wrapText="1"/>
    </xf>
    <xf numFmtId="49" fontId="2" fillId="9" borderId="54" xfId="0" applyNumberFormat="1" applyFont="1" applyFill="1" applyBorder="1" applyAlignment="1">
      <alignment horizontal="center" vertical="center" wrapText="1"/>
    </xf>
    <xf numFmtId="49" fontId="2" fillId="9" borderId="55" xfId="0" applyNumberFormat="1" applyFont="1" applyFill="1" applyBorder="1" applyAlignment="1">
      <alignment horizontal="center" vertical="center" wrapText="1"/>
    </xf>
    <xf numFmtId="0" fontId="3" fillId="0" borderId="15" xfId="0" applyFont="1" applyBorder="1" applyAlignment="1">
      <alignment vertical="top" wrapText="1"/>
    </xf>
    <xf numFmtId="49" fontId="5" fillId="3" borderId="53" xfId="0" applyNumberFormat="1" applyFont="1" applyFill="1" applyBorder="1" applyAlignment="1">
      <alignment horizontal="left" vertical="top" wrapText="1"/>
    </xf>
    <xf numFmtId="0" fontId="5" fillId="3" borderId="53" xfId="0" applyNumberFormat="1" applyFont="1" applyFill="1" applyBorder="1" applyAlignment="1">
      <alignment horizontal="left" vertical="top" wrapText="1"/>
    </xf>
    <xf numFmtId="49" fontId="6" fillId="3" borderId="56" xfId="0" applyNumberFormat="1" applyFont="1" applyFill="1" applyBorder="1" applyAlignment="1">
      <alignment horizontal="left" vertical="top" wrapText="1"/>
    </xf>
    <xf numFmtId="165" fontId="3" fillId="0" borderId="15" xfId="0" applyNumberFormat="1" applyFont="1" applyFill="1" applyBorder="1" applyAlignment="1">
      <alignment vertical="top" wrapText="1"/>
    </xf>
    <xf numFmtId="165" fontId="3" fillId="0" borderId="10" xfId="0" applyNumberFormat="1" applyFont="1" applyBorder="1" applyAlignment="1">
      <alignment vertical="top" wrapText="1"/>
    </xf>
    <xf numFmtId="165" fontId="18" fillId="10" borderId="39" xfId="0" applyNumberFormat="1" applyFont="1" applyFill="1" applyBorder="1" applyAlignment="1">
      <alignment vertical="top" wrapText="1"/>
    </xf>
    <xf numFmtId="49" fontId="5" fillId="3" borderId="5" xfId="0" applyNumberFormat="1" applyFont="1" applyFill="1" applyBorder="1" applyAlignment="1">
      <alignment horizontal="left" vertical="center" wrapText="1"/>
    </xf>
    <xf numFmtId="49" fontId="9" fillId="3" borderId="5" xfId="0" applyNumberFormat="1" applyFont="1" applyFill="1" applyBorder="1" applyAlignment="1">
      <alignment horizontal="left" vertical="center" wrapText="1"/>
    </xf>
    <xf numFmtId="49" fontId="6" fillId="3" borderId="5" xfId="0" applyNumberFormat="1" applyFont="1" applyFill="1" applyBorder="1" applyAlignment="1">
      <alignment horizontal="left" vertical="center" wrapText="1"/>
    </xf>
    <xf numFmtId="49" fontId="19" fillId="7" borderId="32" xfId="0" applyNumberFormat="1" applyFont="1" applyFill="1" applyBorder="1" applyAlignment="1">
      <alignment horizontal="left" vertical="center" wrapText="1"/>
    </xf>
    <xf numFmtId="49" fontId="5" fillId="3" borderId="12" xfId="0" applyNumberFormat="1" applyFont="1" applyFill="1" applyBorder="1" applyAlignment="1">
      <alignment horizontal="left" vertical="center" wrapText="1"/>
    </xf>
    <xf numFmtId="49" fontId="14" fillId="3" borderId="12" xfId="0" applyNumberFormat="1" applyFont="1" applyFill="1" applyBorder="1" applyAlignment="1">
      <alignment horizontal="left" vertical="center" wrapText="1"/>
    </xf>
    <xf numFmtId="49" fontId="6" fillId="3" borderId="25" xfId="0" applyNumberFormat="1" applyFont="1" applyFill="1" applyBorder="1" applyAlignment="1">
      <alignment horizontal="left" vertical="center" wrapText="1"/>
    </xf>
    <xf numFmtId="49" fontId="18" fillId="3" borderId="26" xfId="0" applyNumberFormat="1" applyFont="1" applyFill="1" applyBorder="1" applyAlignment="1">
      <alignment horizontal="left" vertical="center" wrapText="1"/>
    </xf>
    <xf numFmtId="49" fontId="8" fillId="3" borderId="20" xfId="0" applyNumberFormat="1" applyFont="1" applyFill="1" applyBorder="1" applyAlignment="1">
      <alignment horizontal="left" vertical="center" wrapText="1"/>
    </xf>
    <xf numFmtId="49" fontId="16" fillId="3" borderId="5" xfId="0" applyNumberFormat="1" applyFont="1" applyFill="1" applyBorder="1" applyAlignment="1">
      <alignment horizontal="left" vertical="center" wrapText="1"/>
    </xf>
    <xf numFmtId="49" fontId="8" fillId="3" borderId="23" xfId="0" applyNumberFormat="1" applyFont="1" applyFill="1" applyBorder="1" applyAlignment="1">
      <alignment horizontal="left" vertical="center" wrapText="1"/>
    </xf>
    <xf numFmtId="49" fontId="8" fillId="5" borderId="24" xfId="0" applyNumberFormat="1" applyFont="1" applyFill="1" applyBorder="1" applyAlignment="1">
      <alignment horizontal="left" vertical="center" wrapText="1"/>
    </xf>
    <xf numFmtId="49" fontId="27" fillId="2" borderId="1" xfId="0" applyNumberFormat="1" applyFont="1" applyFill="1" applyBorder="1" applyAlignment="1">
      <alignment vertical="center" wrapText="1"/>
    </xf>
    <xf numFmtId="49" fontId="5" fillId="3" borderId="21" xfId="0" applyNumberFormat="1" applyFont="1" applyFill="1" applyBorder="1" applyAlignment="1">
      <alignment horizontal="left" vertical="center" wrapText="1"/>
    </xf>
    <xf numFmtId="49" fontId="3" fillId="3" borderId="20" xfId="0" applyNumberFormat="1" applyFont="1" applyFill="1" applyBorder="1" applyAlignment="1">
      <alignment horizontal="left" vertical="center" wrapText="1"/>
    </xf>
    <xf numFmtId="49" fontId="7" fillId="3" borderId="52" xfId="0" applyNumberFormat="1" applyFont="1" applyFill="1" applyBorder="1" applyAlignment="1">
      <alignment vertical="center" wrapText="1"/>
    </xf>
    <xf numFmtId="49" fontId="26" fillId="3" borderId="2" xfId="0" applyNumberFormat="1" applyFont="1" applyFill="1" applyBorder="1" applyAlignment="1">
      <alignment vertical="center" wrapText="1"/>
    </xf>
    <xf numFmtId="49" fontId="7" fillId="3" borderId="5" xfId="0" applyNumberFormat="1" applyFont="1" applyFill="1" applyBorder="1" applyAlignment="1">
      <alignment vertical="center" wrapText="1"/>
    </xf>
    <xf numFmtId="0" fontId="7" fillId="3" borderId="5" xfId="0" applyFont="1" applyFill="1" applyBorder="1" applyAlignment="1">
      <alignment vertical="center" wrapText="1"/>
    </xf>
    <xf numFmtId="49" fontId="26" fillId="3" borderId="5" xfId="0" applyNumberFormat="1" applyFont="1" applyFill="1" applyBorder="1" applyAlignment="1">
      <alignment vertical="center" wrapText="1"/>
    </xf>
    <xf numFmtId="49" fontId="6" fillId="9" borderId="1" xfId="0" applyNumberFormat="1" applyFont="1" applyFill="1" applyBorder="1" applyAlignment="1">
      <alignment vertical="center" wrapText="1"/>
    </xf>
    <xf numFmtId="49" fontId="6" fillId="9" borderId="1" xfId="0" applyNumberFormat="1" applyFont="1" applyFill="1" applyBorder="1" applyAlignment="1">
      <alignment horizontal="center" vertical="center" wrapText="1"/>
    </xf>
    <xf numFmtId="49" fontId="3" fillId="3" borderId="5" xfId="0" applyNumberFormat="1" applyFont="1" applyFill="1" applyBorder="1" applyAlignment="1">
      <alignment vertical="center" wrapText="1"/>
    </xf>
    <xf numFmtId="49" fontId="27" fillId="2" borderId="1" xfId="0" applyNumberFormat="1" applyFont="1" applyFill="1" applyBorder="1" applyAlignment="1">
      <alignment horizontal="center" vertical="center" wrapText="1"/>
    </xf>
    <xf numFmtId="0" fontId="5" fillId="3" borderId="7" xfId="0" applyFont="1" applyFill="1" applyBorder="1" applyAlignment="1">
      <alignment vertical="center"/>
    </xf>
    <xf numFmtId="44" fontId="5" fillId="0" borderId="7" xfId="45" applyFont="1" applyBorder="1"/>
    <xf numFmtId="1" fontId="5" fillId="0" borderId="7" xfId="45" applyNumberFormat="1" applyFont="1" applyBorder="1"/>
    <xf numFmtId="165" fontId="5" fillId="0" borderId="7" xfId="45" applyNumberFormat="1" applyFont="1" applyBorder="1"/>
    <xf numFmtId="0" fontId="5" fillId="10" borderId="7" xfId="0" applyFont="1" applyFill="1" applyBorder="1" applyAlignment="1">
      <alignment vertical="center"/>
    </xf>
    <xf numFmtId="165" fontId="5" fillId="10" borderId="7" xfId="45" applyNumberFormat="1" applyFont="1" applyFill="1" applyBorder="1"/>
    <xf numFmtId="0" fontId="3" fillId="0" borderId="66" xfId="0" applyNumberFormat="1" applyFont="1" applyBorder="1" applyAlignment="1">
      <alignment horizontal="center" vertical="center" wrapText="1"/>
    </xf>
    <xf numFmtId="0" fontId="3" fillId="0" borderId="66" xfId="0" applyNumberFormat="1" applyFont="1" applyBorder="1" applyAlignment="1">
      <alignment vertical="center" wrapText="1"/>
    </xf>
    <xf numFmtId="0" fontId="3" fillId="0" borderId="0" xfId="0" applyNumberFormat="1" applyFont="1" applyAlignment="1">
      <alignment horizontal="center" vertical="center" wrapText="1"/>
    </xf>
    <xf numFmtId="0" fontId="3" fillId="0" borderId="0" xfId="0" applyNumberFormat="1" applyFont="1" applyBorder="1" applyAlignment="1">
      <alignment vertical="center" wrapText="1"/>
    </xf>
    <xf numFmtId="0" fontId="7" fillId="0" borderId="0" xfId="0" applyNumberFormat="1" applyFont="1" applyAlignment="1">
      <alignment vertical="center" wrapText="1"/>
    </xf>
    <xf numFmtId="8" fontId="3" fillId="0" borderId="66" xfId="0" applyNumberFormat="1" applyFont="1" applyBorder="1" applyAlignment="1">
      <alignment horizontal="center" vertical="center" wrapText="1"/>
    </xf>
    <xf numFmtId="49" fontId="5" fillId="3" borderId="71" xfId="0" applyNumberFormat="1" applyFont="1" applyFill="1" applyBorder="1" applyAlignment="1">
      <alignment horizontal="left" vertical="center" wrapText="1"/>
    </xf>
    <xf numFmtId="49" fontId="14" fillId="3" borderId="71" xfId="0" applyNumberFormat="1" applyFont="1" applyFill="1" applyBorder="1" applyAlignment="1">
      <alignment horizontal="left" vertical="center" wrapText="1"/>
    </xf>
    <xf numFmtId="0" fontId="3" fillId="0" borderId="0" xfId="0" applyNumberFormat="1" applyFont="1" applyAlignment="1">
      <alignment vertical="top"/>
    </xf>
    <xf numFmtId="49" fontId="5" fillId="9" borderId="1" xfId="0" applyNumberFormat="1" applyFont="1" applyFill="1" applyBorder="1" applyAlignment="1">
      <alignment horizontal="center" vertical="center" wrapText="1"/>
    </xf>
    <xf numFmtId="49" fontId="5" fillId="9" borderId="11" xfId="0" applyNumberFormat="1" applyFont="1" applyFill="1" applyBorder="1" applyAlignment="1">
      <alignment horizontal="center" vertical="center" wrapText="1"/>
    </xf>
    <xf numFmtId="0" fontId="0" fillId="0" borderId="73" xfId="0" applyFont="1" applyBorder="1" applyAlignment="1">
      <alignment vertical="top" wrapText="1"/>
    </xf>
    <xf numFmtId="6" fontId="0" fillId="0" borderId="0" xfId="0" applyNumberFormat="1" applyFont="1" applyAlignment="1">
      <alignment vertical="top" wrapText="1"/>
    </xf>
    <xf numFmtId="0" fontId="0" fillId="0" borderId="0" xfId="0" applyFont="1" applyAlignment="1">
      <alignment horizontal="left" vertical="top" wrapText="1"/>
    </xf>
    <xf numFmtId="9" fontId="0" fillId="0" borderId="0" xfId="0" applyNumberFormat="1" applyFont="1" applyAlignment="1">
      <alignment horizontal="left" vertical="top" wrapText="1"/>
    </xf>
    <xf numFmtId="1" fontId="0" fillId="0" borderId="0" xfId="0" applyNumberFormat="1" applyFont="1" applyAlignment="1">
      <alignment vertical="top" wrapText="1"/>
    </xf>
    <xf numFmtId="0" fontId="3" fillId="0" borderId="0" xfId="0" applyNumberFormat="1" applyFont="1" applyBorder="1" applyAlignment="1">
      <alignment vertical="top" wrapText="1"/>
    </xf>
    <xf numFmtId="0" fontId="3" fillId="0" borderId="74" xfId="0" applyNumberFormat="1" applyFont="1" applyBorder="1" applyAlignment="1">
      <alignment vertical="top" wrapText="1"/>
    </xf>
    <xf numFmtId="49" fontId="5" fillId="3" borderId="20" xfId="0" applyNumberFormat="1" applyFont="1" applyFill="1" applyBorder="1" applyAlignment="1">
      <alignment horizontal="left" vertical="center" wrapText="1"/>
    </xf>
    <xf numFmtId="49" fontId="5" fillId="3" borderId="72" xfId="0" applyNumberFormat="1" applyFont="1" applyFill="1" applyBorder="1" applyAlignment="1">
      <alignment horizontal="left" vertical="center" wrapText="1"/>
    </xf>
    <xf numFmtId="0" fontId="33" fillId="0" borderId="0" xfId="0" applyNumberFormat="1" applyFont="1" applyAlignment="1">
      <alignment vertical="top" wrapText="1"/>
    </xf>
    <xf numFmtId="0" fontId="0" fillId="0" borderId="15" xfId="0" applyFont="1" applyBorder="1" applyAlignment="1">
      <alignment vertical="top" wrapText="1"/>
    </xf>
    <xf numFmtId="0" fontId="30" fillId="4" borderId="15" xfId="0" applyFont="1" applyFill="1" applyBorder="1" applyAlignment="1">
      <alignment vertical="top" wrapText="1"/>
    </xf>
    <xf numFmtId="0" fontId="31" fillId="4" borderId="15" xfId="0" applyFont="1" applyFill="1" applyBorder="1" applyAlignment="1">
      <alignment vertical="center"/>
    </xf>
    <xf numFmtId="0" fontId="31" fillId="4" borderId="15" xfId="0" applyFont="1" applyFill="1" applyBorder="1" applyAlignment="1">
      <alignment horizontal="center" vertical="center" wrapText="1"/>
    </xf>
    <xf numFmtId="0" fontId="0" fillId="4" borderId="15" xfId="0" applyFont="1" applyFill="1" applyBorder="1" applyAlignment="1">
      <alignment vertical="top" wrapText="1"/>
    </xf>
    <xf numFmtId="44" fontId="30" fillId="4" borderId="15" xfId="45" applyFont="1" applyFill="1" applyBorder="1" applyAlignment="1">
      <alignment vertical="top" wrapText="1"/>
    </xf>
    <xf numFmtId="9" fontId="30" fillId="4" borderId="15" xfId="46" applyFont="1" applyFill="1" applyBorder="1" applyAlignment="1">
      <alignment vertical="top" wrapText="1"/>
    </xf>
    <xf numFmtId="44" fontId="30" fillId="4" borderId="15" xfId="0" applyNumberFormat="1" applyFont="1" applyFill="1" applyBorder="1" applyAlignment="1">
      <alignment vertical="top" wrapText="1"/>
    </xf>
    <xf numFmtId="49" fontId="5" fillId="3" borderId="25" xfId="0" applyNumberFormat="1" applyFont="1" applyFill="1" applyBorder="1" applyAlignment="1">
      <alignment horizontal="left" vertical="top" wrapText="1"/>
    </xf>
    <xf numFmtId="0" fontId="3" fillId="0" borderId="14" xfId="0" applyNumberFormat="1" applyFont="1" applyBorder="1" applyAlignment="1">
      <alignment vertical="top" wrapText="1"/>
    </xf>
    <xf numFmtId="164" fontId="7" fillId="0" borderId="14" xfId="0" applyNumberFormat="1" applyFont="1" applyBorder="1" applyAlignment="1">
      <alignment vertical="top" wrapText="1"/>
    </xf>
    <xf numFmtId="49" fontId="3" fillId="4" borderId="13" xfId="0" applyNumberFormat="1" applyFont="1" applyFill="1" applyBorder="1" applyAlignment="1">
      <alignment horizontal="left" vertical="top" wrapText="1"/>
    </xf>
    <xf numFmtId="49" fontId="3" fillId="0" borderId="10" xfId="0" applyNumberFormat="1" applyFont="1" applyBorder="1" applyAlignment="1">
      <alignment horizontal="right" vertical="center" wrapText="1"/>
    </xf>
    <xf numFmtId="49" fontId="3" fillId="4" borderId="7" xfId="0" applyNumberFormat="1" applyFont="1" applyFill="1" applyBorder="1" applyAlignment="1">
      <alignment horizontal="left" vertical="top" wrapText="1"/>
    </xf>
    <xf numFmtId="49" fontId="34" fillId="3" borderId="5" xfId="0" applyNumberFormat="1" applyFont="1" applyFill="1" applyBorder="1" applyAlignment="1">
      <alignment vertical="center" wrapText="1"/>
    </xf>
    <xf numFmtId="49" fontId="3" fillId="3" borderId="21" xfId="0" applyNumberFormat="1" applyFont="1" applyFill="1" applyBorder="1" applyAlignment="1">
      <alignment vertical="center" wrapText="1"/>
    </xf>
    <xf numFmtId="0" fontId="3" fillId="0" borderId="75" xfId="0" applyNumberFormat="1" applyFont="1" applyBorder="1" applyAlignment="1">
      <alignment vertical="top" wrapText="1"/>
    </xf>
    <xf numFmtId="164" fontId="3" fillId="0" borderId="28" xfId="0" applyNumberFormat="1" applyFont="1" applyBorder="1" applyAlignment="1">
      <alignment vertical="top" wrapText="1"/>
    </xf>
    <xf numFmtId="0" fontId="3" fillId="3" borderId="20" xfId="0" applyFont="1" applyFill="1" applyBorder="1" applyAlignment="1">
      <alignment vertical="center" wrapText="1"/>
    </xf>
    <xf numFmtId="49" fontId="34" fillId="3" borderId="76" xfId="0" applyNumberFormat="1" applyFont="1" applyFill="1" applyBorder="1" applyAlignment="1">
      <alignment vertical="center" wrapText="1"/>
    </xf>
    <xf numFmtId="0" fontId="3" fillId="4" borderId="13" xfId="0" applyFont="1" applyFill="1" applyBorder="1" applyAlignment="1">
      <alignment vertical="top" wrapText="1"/>
    </xf>
    <xf numFmtId="0" fontId="18" fillId="0" borderId="0" xfId="0" applyNumberFormat="1" applyFont="1" applyAlignment="1">
      <alignment horizontal="left" vertical="center" wrapText="1"/>
    </xf>
    <xf numFmtId="166" fontId="18" fillId="0" borderId="0" xfId="0" applyNumberFormat="1" applyFont="1" applyAlignment="1">
      <alignment horizontal="right" vertical="center" wrapText="1"/>
    </xf>
    <xf numFmtId="0" fontId="18" fillId="10" borderId="24" xfId="0" applyNumberFormat="1" applyFont="1" applyFill="1" applyBorder="1" applyAlignment="1">
      <alignment horizontal="left" vertical="center" wrapText="1"/>
    </xf>
    <xf numFmtId="166" fontId="18" fillId="10" borderId="40" xfId="0" applyNumberFormat="1" applyFont="1" applyFill="1" applyBorder="1" applyAlignment="1">
      <alignment vertical="center" wrapText="1"/>
    </xf>
    <xf numFmtId="167" fontId="8" fillId="0" borderId="0" xfId="45" applyNumberFormat="1" applyFont="1" applyAlignment="1">
      <alignment horizontal="center" vertical="center" wrapText="1"/>
    </xf>
    <xf numFmtId="49" fontId="5" fillId="3" borderId="0" xfId="0" applyNumberFormat="1" applyFont="1" applyFill="1" applyBorder="1" applyAlignment="1">
      <alignment horizontal="left" vertical="center" wrapText="1"/>
    </xf>
    <xf numFmtId="49" fontId="6" fillId="3" borderId="20" xfId="0" applyNumberFormat="1" applyFont="1" applyFill="1" applyBorder="1" applyAlignment="1">
      <alignment horizontal="left" vertical="center" wrapText="1"/>
    </xf>
    <xf numFmtId="49" fontId="5" fillId="3" borderId="81" xfId="0" applyNumberFormat="1" applyFont="1" applyFill="1" applyBorder="1" applyAlignment="1">
      <alignment horizontal="left" vertical="center" wrapText="1"/>
    </xf>
    <xf numFmtId="49" fontId="14" fillId="11" borderId="83" xfId="0" applyNumberFormat="1" applyFont="1" applyFill="1" applyBorder="1" applyAlignment="1">
      <alignment horizontal="left" vertical="center" wrapText="1"/>
    </xf>
    <xf numFmtId="49" fontId="5" fillId="3" borderId="25" xfId="0" applyNumberFormat="1" applyFont="1" applyFill="1" applyBorder="1" applyAlignment="1">
      <alignment horizontal="left" vertical="center" wrapText="1"/>
    </xf>
    <xf numFmtId="49" fontId="6" fillId="3" borderId="86" xfId="0" applyNumberFormat="1" applyFont="1" applyFill="1" applyBorder="1" applyAlignment="1">
      <alignment horizontal="left" vertical="center" wrapText="1"/>
    </xf>
    <xf numFmtId="49" fontId="14" fillId="3" borderId="25" xfId="0" applyNumberFormat="1" applyFont="1" applyFill="1" applyBorder="1" applyAlignment="1">
      <alignment horizontal="left" vertical="center" wrapText="1"/>
    </xf>
    <xf numFmtId="49" fontId="6" fillId="3" borderId="88" xfId="0" applyNumberFormat="1" applyFont="1" applyFill="1" applyBorder="1" applyAlignment="1">
      <alignment horizontal="left" vertical="center" wrapText="1"/>
    </xf>
    <xf numFmtId="166" fontId="6" fillId="3" borderId="88" xfId="0" applyNumberFormat="1" applyFont="1" applyFill="1" applyBorder="1" applyAlignment="1">
      <alignment horizontal="left" vertical="center" wrapText="1"/>
    </xf>
    <xf numFmtId="167" fontId="3" fillId="4" borderId="18" xfId="45" applyNumberFormat="1" applyFont="1" applyFill="1" applyBorder="1" applyAlignment="1">
      <alignment vertical="top" wrapText="1"/>
    </xf>
    <xf numFmtId="167" fontId="3" fillId="4" borderId="15" xfId="45" applyNumberFormat="1" applyFont="1" applyFill="1" applyBorder="1" applyAlignment="1">
      <alignment vertical="top" wrapText="1"/>
    </xf>
    <xf numFmtId="167" fontId="3" fillId="4" borderId="8" xfId="45" applyNumberFormat="1" applyFont="1" applyFill="1" applyBorder="1" applyAlignment="1">
      <alignment vertical="top" wrapText="1"/>
    </xf>
    <xf numFmtId="167" fontId="3" fillId="4" borderId="7" xfId="45" applyNumberFormat="1" applyFont="1" applyFill="1" applyBorder="1" applyAlignment="1">
      <alignment vertical="top" wrapText="1"/>
    </xf>
    <xf numFmtId="167" fontId="3" fillId="4" borderId="82" xfId="45" applyNumberFormat="1" applyFont="1" applyFill="1" applyBorder="1" applyAlignment="1">
      <alignment vertical="top" wrapText="1"/>
    </xf>
    <xf numFmtId="167" fontId="3" fillId="4" borderId="80" xfId="45" applyNumberFormat="1" applyFont="1" applyFill="1" applyBorder="1" applyAlignment="1">
      <alignment vertical="top" wrapText="1"/>
    </xf>
    <xf numFmtId="167" fontId="7" fillId="4" borderId="50" xfId="45" applyNumberFormat="1" applyFont="1" applyFill="1" applyBorder="1" applyAlignment="1">
      <alignment vertical="top" wrapText="1"/>
    </xf>
    <xf numFmtId="167" fontId="3" fillId="0" borderId="18" xfId="45" applyNumberFormat="1" applyFont="1" applyBorder="1" applyAlignment="1">
      <alignment vertical="top" wrapText="1"/>
    </xf>
    <xf numFmtId="167" fontId="3" fillId="0" borderId="7" xfId="45" applyNumberFormat="1" applyFont="1" applyBorder="1" applyAlignment="1">
      <alignment vertical="top" wrapText="1"/>
    </xf>
    <xf numFmtId="167" fontId="3" fillId="0" borderId="57" xfId="45" applyNumberFormat="1" applyFont="1" applyBorder="1" applyAlignment="1">
      <alignment vertical="top" wrapText="1"/>
    </xf>
    <xf numFmtId="167" fontId="3" fillId="4" borderId="58" xfId="45" applyNumberFormat="1" applyFont="1" applyFill="1" applyBorder="1" applyAlignment="1">
      <alignment vertical="top" wrapText="1"/>
    </xf>
    <xf numFmtId="167" fontId="3" fillId="4" borderId="14" xfId="45" applyNumberFormat="1" applyFont="1" applyFill="1" applyBorder="1" applyAlignment="1">
      <alignment vertical="top" wrapText="1"/>
    </xf>
    <xf numFmtId="167" fontId="7" fillId="0" borderId="85" xfId="45" applyNumberFormat="1" applyFont="1" applyBorder="1" applyAlignment="1">
      <alignment vertical="top" wrapText="1"/>
    </xf>
    <xf numFmtId="167" fontId="7" fillId="0" borderId="84" xfId="45" applyNumberFormat="1" applyFont="1" applyBorder="1" applyAlignment="1">
      <alignment vertical="top" wrapText="1"/>
    </xf>
    <xf numFmtId="167" fontId="7" fillId="0" borderId="89" xfId="45" applyNumberFormat="1" applyFont="1" applyBorder="1" applyAlignment="1">
      <alignment vertical="top" wrapText="1"/>
    </xf>
    <xf numFmtId="167" fontId="3" fillId="0" borderId="50" xfId="45" applyNumberFormat="1" applyFont="1" applyBorder="1" applyAlignment="1">
      <alignment vertical="top" wrapText="1"/>
    </xf>
    <xf numFmtId="167" fontId="3" fillId="0" borderId="91" xfId="45" applyNumberFormat="1" applyFont="1" applyBorder="1" applyAlignment="1">
      <alignment vertical="top" wrapText="1"/>
    </xf>
    <xf numFmtId="167" fontId="3" fillId="0" borderId="58" xfId="45" applyNumberFormat="1" applyFont="1" applyBorder="1" applyAlignment="1">
      <alignment vertical="top" wrapText="1"/>
    </xf>
    <xf numFmtId="167" fontId="3" fillId="0" borderId="53" xfId="45" applyNumberFormat="1" applyFont="1" applyBorder="1" applyAlignment="1">
      <alignment vertical="top" wrapText="1"/>
    </xf>
    <xf numFmtId="167" fontId="15" fillId="0" borderId="59" xfId="45" applyNumberFormat="1" applyFont="1" applyBorder="1" applyAlignment="1">
      <alignment vertical="top" wrapText="1"/>
    </xf>
    <xf numFmtId="167" fontId="15" fillId="0" borderId="7" xfId="45" applyNumberFormat="1" applyFont="1" applyBorder="1" applyAlignment="1">
      <alignment vertical="top" wrapText="1"/>
    </xf>
    <xf numFmtId="167" fontId="3" fillId="0" borderId="65" xfId="45" applyNumberFormat="1" applyFont="1" applyBorder="1" applyAlignment="1">
      <alignment vertical="top" wrapText="1"/>
    </xf>
    <xf numFmtId="167" fontId="3" fillId="0" borderId="28" xfId="45" applyNumberFormat="1" applyFont="1" applyBorder="1" applyAlignment="1">
      <alignment vertical="top" wrapText="1"/>
    </xf>
    <xf numFmtId="167" fontId="7" fillId="0" borderId="87" xfId="45" applyNumberFormat="1" applyFont="1" applyBorder="1" applyAlignment="1">
      <alignment vertical="top" wrapText="1"/>
    </xf>
    <xf numFmtId="167" fontId="3" fillId="0" borderId="6" xfId="45" applyNumberFormat="1" applyFont="1" applyBorder="1" applyAlignment="1">
      <alignment vertical="top" wrapText="1"/>
    </xf>
    <xf numFmtId="167" fontId="18" fillId="0" borderId="27" xfId="45" applyNumberFormat="1" applyFont="1" applyBorder="1" applyAlignment="1">
      <alignment vertical="top" wrapText="1"/>
    </xf>
    <xf numFmtId="167" fontId="3" fillId="0" borderId="61" xfId="45" applyNumberFormat="1" applyFont="1" applyBorder="1" applyAlignment="1">
      <alignment vertical="top" wrapText="1"/>
    </xf>
    <xf numFmtId="167" fontId="18" fillId="0" borderId="29" xfId="45" applyNumberFormat="1" applyFont="1" applyFill="1" applyBorder="1" applyAlignment="1">
      <alignment vertical="top" wrapText="1"/>
    </xf>
    <xf numFmtId="167" fontId="3" fillId="0" borderId="0" xfId="45" applyNumberFormat="1" applyFont="1" applyBorder="1" applyAlignment="1">
      <alignment vertical="top" wrapText="1"/>
    </xf>
    <xf numFmtId="167" fontId="3" fillId="0" borderId="82" xfId="45" applyNumberFormat="1" applyFont="1" applyBorder="1" applyAlignment="1">
      <alignment vertical="top" wrapText="1"/>
    </xf>
    <xf numFmtId="167" fontId="3" fillId="0" borderId="80" xfId="45" applyNumberFormat="1" applyFont="1" applyBorder="1" applyAlignment="1">
      <alignment vertical="top" wrapText="1"/>
    </xf>
    <xf numFmtId="167" fontId="7" fillId="0" borderId="50" xfId="45" applyNumberFormat="1" applyFont="1" applyBorder="1" applyAlignment="1">
      <alignment vertical="top" wrapText="1"/>
    </xf>
    <xf numFmtId="167" fontId="7" fillId="0" borderId="77" xfId="45" applyNumberFormat="1" applyFont="1" applyBorder="1" applyAlignment="1">
      <alignment vertical="top" wrapText="1"/>
    </xf>
    <xf numFmtId="167" fontId="7" fillId="0" borderId="6" xfId="45" applyNumberFormat="1" applyFont="1" applyBorder="1" applyAlignment="1">
      <alignment vertical="top" wrapText="1"/>
    </xf>
    <xf numFmtId="167" fontId="3" fillId="0" borderId="8" xfId="45" applyNumberFormat="1" applyFont="1" applyBorder="1" applyAlignment="1">
      <alignment vertical="top" wrapText="1"/>
    </xf>
    <xf numFmtId="167" fontId="3" fillId="0" borderId="14" xfId="45" applyNumberFormat="1" applyFont="1" applyBorder="1" applyAlignment="1">
      <alignment vertical="top" wrapText="1"/>
    </xf>
    <xf numFmtId="167" fontId="7" fillId="0" borderId="78" xfId="45" applyNumberFormat="1" applyFont="1" applyBorder="1" applyAlignment="1">
      <alignment vertical="top" wrapText="1"/>
    </xf>
    <xf numFmtId="167" fontId="7" fillId="0" borderId="79" xfId="45" applyNumberFormat="1" applyFont="1" applyBorder="1" applyAlignment="1">
      <alignment vertical="top" wrapText="1"/>
    </xf>
    <xf numFmtId="167" fontId="7" fillId="0" borderId="90" xfId="45" applyNumberFormat="1" applyFont="1" applyBorder="1" applyAlignment="1">
      <alignment vertical="top" wrapText="1"/>
    </xf>
    <xf numFmtId="167" fontId="3" fillId="0" borderId="68" xfId="45" applyNumberFormat="1" applyFont="1" applyBorder="1" applyAlignment="1">
      <alignment vertical="top" wrapText="1"/>
    </xf>
    <xf numFmtId="167" fontId="3" fillId="0" borderId="69" xfId="45" applyNumberFormat="1" applyFont="1" applyBorder="1" applyAlignment="1">
      <alignment vertical="top" wrapText="1"/>
    </xf>
    <xf numFmtId="167" fontId="3" fillId="0" borderId="15" xfId="45" applyNumberFormat="1" applyFont="1" applyBorder="1" applyAlignment="1">
      <alignment vertical="top" wrapText="1"/>
    </xf>
    <xf numFmtId="167" fontId="3" fillId="0" borderId="70" xfId="45" applyNumberFormat="1" applyFont="1" applyBorder="1" applyAlignment="1">
      <alignment vertical="top" wrapText="1"/>
    </xf>
    <xf numFmtId="167" fontId="3" fillId="0" borderId="16" xfId="45" applyNumberFormat="1" applyFont="1" applyBorder="1" applyAlignment="1">
      <alignment vertical="top" wrapText="1"/>
    </xf>
    <xf numFmtId="167" fontId="8" fillId="0" borderId="22" xfId="45" applyNumberFormat="1" applyFont="1" applyBorder="1" applyAlignment="1">
      <alignment vertical="top" wrapText="1"/>
    </xf>
    <xf numFmtId="167" fontId="8" fillId="0" borderId="8" xfId="45" applyNumberFormat="1" applyFont="1" applyBorder="1" applyAlignment="1">
      <alignment vertical="top" wrapText="1"/>
    </xf>
    <xf numFmtId="167" fontId="3" fillId="0" borderId="31" xfId="45" applyNumberFormat="1" applyFont="1" applyBorder="1" applyAlignment="1">
      <alignment vertical="top" wrapText="1"/>
    </xf>
    <xf numFmtId="167" fontId="8" fillId="5" borderId="30" xfId="45" applyNumberFormat="1" applyFont="1" applyFill="1" applyBorder="1" applyAlignment="1">
      <alignment vertical="top" wrapText="1"/>
    </xf>
    <xf numFmtId="1" fontId="3" fillId="0" borderId="60" xfId="0" applyNumberFormat="1" applyFont="1" applyBorder="1" applyAlignment="1">
      <alignment vertical="top" wrapText="1"/>
    </xf>
    <xf numFmtId="1" fontId="3" fillId="0" borderId="15" xfId="0" applyNumberFormat="1" applyFont="1" applyBorder="1" applyAlignment="1">
      <alignment vertical="top" wrapText="1"/>
    </xf>
    <xf numFmtId="167" fontId="7" fillId="0" borderId="7" xfId="45" applyNumberFormat="1" applyFont="1" applyBorder="1" applyAlignment="1">
      <alignment vertical="top" wrapText="1"/>
    </xf>
    <xf numFmtId="167" fontId="3" fillId="0" borderId="63" xfId="45" applyNumberFormat="1" applyFont="1" applyBorder="1" applyAlignment="1">
      <alignment vertical="top" wrapText="1"/>
    </xf>
    <xf numFmtId="167" fontId="3" fillId="0" borderId="64" xfId="45" applyNumberFormat="1" applyFont="1" applyBorder="1" applyAlignment="1">
      <alignment vertical="top" wrapText="1"/>
    </xf>
    <xf numFmtId="0" fontId="0" fillId="0" borderId="0" xfId="0" applyFont="1" applyAlignment="1">
      <alignment horizontal="left" vertical="center" wrapText="1"/>
    </xf>
    <xf numFmtId="49" fontId="13" fillId="3" borderId="7" xfId="0" applyNumberFormat="1" applyFont="1" applyFill="1" applyBorder="1" applyAlignment="1">
      <alignment horizontal="left" vertical="center" wrapText="1"/>
    </xf>
    <xf numFmtId="49" fontId="13" fillId="3" borderId="7" xfId="0" applyNumberFormat="1" applyFont="1" applyFill="1" applyBorder="1" applyAlignment="1">
      <alignment horizontal="center" vertical="center" wrapText="1"/>
    </xf>
    <xf numFmtId="167" fontId="3" fillId="0" borderId="8" xfId="45" applyNumberFormat="1" applyFont="1" applyBorder="1" applyAlignment="1">
      <alignment vertical="center" wrapText="1"/>
    </xf>
    <xf numFmtId="167" fontId="3" fillId="0" borderId="7" xfId="45" applyNumberFormat="1" applyFont="1" applyBorder="1" applyAlignment="1">
      <alignment vertical="center" wrapText="1"/>
    </xf>
    <xf numFmtId="167" fontId="7" fillId="0" borderId="8" xfId="45" applyNumberFormat="1" applyFont="1" applyBorder="1" applyAlignment="1">
      <alignment vertical="center" wrapText="1"/>
    </xf>
    <xf numFmtId="167" fontId="7" fillId="0" borderId="7" xfId="45" applyNumberFormat="1" applyFont="1" applyBorder="1" applyAlignment="1">
      <alignment vertical="center" wrapText="1"/>
    </xf>
    <xf numFmtId="167" fontId="3" fillId="10" borderId="34" xfId="45" applyNumberFormat="1" applyFont="1" applyFill="1" applyBorder="1" applyAlignment="1">
      <alignment vertical="center" wrapText="1"/>
    </xf>
    <xf numFmtId="167" fontId="7" fillId="10" borderId="34" xfId="45" applyNumberFormat="1" applyFont="1" applyFill="1" applyBorder="1" applyAlignment="1">
      <alignment vertical="center" wrapText="1"/>
    </xf>
    <xf numFmtId="0" fontId="0" fillId="0" borderId="0" xfId="0" applyFont="1" applyAlignment="1">
      <alignment vertical="center" wrapText="1"/>
    </xf>
    <xf numFmtId="167" fontId="3" fillId="0" borderId="18" xfId="45" applyNumberFormat="1" applyFont="1" applyFill="1" applyBorder="1" applyAlignment="1">
      <alignment vertical="top" wrapText="1"/>
    </xf>
    <xf numFmtId="167" fontId="3" fillId="0" borderId="7" xfId="45" applyNumberFormat="1" applyFont="1" applyFill="1" applyBorder="1" applyAlignment="1">
      <alignment vertical="top" wrapText="1"/>
    </xf>
    <xf numFmtId="0" fontId="23" fillId="0" borderId="0" xfId="0" applyFont="1" applyAlignment="1">
      <alignment horizontal="left" vertical="center"/>
    </xf>
    <xf numFmtId="167" fontId="15" fillId="0" borderId="95" xfId="45" applyNumberFormat="1" applyFont="1" applyBorder="1" applyAlignment="1">
      <alignment vertical="top" wrapText="1"/>
    </xf>
    <xf numFmtId="167" fontId="15" fillId="0" borderId="15" xfId="45" applyNumberFormat="1" applyFont="1" applyBorder="1" applyAlignment="1">
      <alignment vertical="top" wrapText="1"/>
    </xf>
    <xf numFmtId="49" fontId="36" fillId="3" borderId="12" xfId="0" applyNumberFormat="1" applyFont="1" applyFill="1" applyBorder="1" applyAlignment="1">
      <alignment horizontal="left" vertical="center" wrapText="1"/>
    </xf>
    <xf numFmtId="0" fontId="2" fillId="0" borderId="0" xfId="0" applyFont="1" applyAlignment="1">
      <alignment vertical="top" wrapText="1"/>
    </xf>
    <xf numFmtId="0" fontId="8" fillId="0" borderId="0" xfId="0" applyFont="1" applyAlignment="1">
      <alignment horizontal="left" vertical="center" wrapText="1"/>
    </xf>
    <xf numFmtId="0" fontId="18" fillId="0" borderId="0" xfId="0" applyFont="1" applyAlignment="1">
      <alignment horizontal="left" vertical="center" wrapText="1"/>
    </xf>
    <xf numFmtId="0" fontId="23" fillId="0" borderId="0" xfId="0" applyFont="1" applyAlignment="1">
      <alignment horizontal="left" vertical="center" wrapText="1"/>
    </xf>
    <xf numFmtId="0" fontId="20" fillId="0" borderId="0" xfId="0" applyFont="1" applyAlignment="1">
      <alignment horizontal="left" vertical="center"/>
    </xf>
    <xf numFmtId="0" fontId="2" fillId="0" borderId="0" xfId="0" applyFont="1" applyAlignment="1">
      <alignment horizontal="left" vertical="center" wrapText="1"/>
    </xf>
    <xf numFmtId="44" fontId="3" fillId="0" borderId="61" xfId="45" applyFont="1" applyBorder="1" applyAlignment="1">
      <alignment vertical="top" wrapText="1"/>
    </xf>
    <xf numFmtId="44" fontId="3" fillId="0" borderId="28" xfId="45" applyFont="1" applyBorder="1" applyAlignment="1">
      <alignment vertical="top" wrapText="1"/>
    </xf>
    <xf numFmtId="167" fontId="3" fillId="0" borderId="57" xfId="45" applyNumberFormat="1" applyFont="1" applyFill="1" applyBorder="1" applyAlignment="1">
      <alignment vertical="top" wrapText="1"/>
    </xf>
    <xf numFmtId="0" fontId="8" fillId="2" borderId="0" xfId="0" applyFont="1" applyFill="1" applyAlignment="1">
      <alignment vertical="center" wrapText="1"/>
    </xf>
    <xf numFmtId="0" fontId="29" fillId="11" borderId="34" xfId="0" applyFont="1" applyFill="1" applyBorder="1" applyAlignment="1">
      <alignment vertical="center"/>
    </xf>
    <xf numFmtId="0" fontId="8" fillId="0" borderId="0" xfId="0" applyFont="1" applyAlignment="1">
      <alignment vertical="center" wrapText="1"/>
    </xf>
    <xf numFmtId="0" fontId="25" fillId="9" borderId="0" xfId="0" applyNumberFormat="1" applyFont="1" applyFill="1" applyBorder="1" applyAlignment="1">
      <alignment horizontal="center" vertical="center" wrapText="1"/>
    </xf>
    <xf numFmtId="49" fontId="27" fillId="2" borderId="11" xfId="0" applyNumberFormat="1" applyFont="1" applyFill="1" applyBorder="1" applyAlignment="1">
      <alignment horizontal="center" vertical="center" wrapText="1"/>
    </xf>
    <xf numFmtId="0" fontId="3" fillId="0" borderId="21" xfId="0" applyFont="1" applyBorder="1" applyAlignment="1">
      <alignment vertical="top" wrapText="1"/>
    </xf>
    <xf numFmtId="1" fontId="3" fillId="0" borderId="76" xfId="0" applyNumberFormat="1" applyFont="1" applyBorder="1" applyAlignment="1">
      <alignment vertical="top" wrapText="1"/>
    </xf>
    <xf numFmtId="44" fontId="3" fillId="0" borderId="96" xfId="45" applyFont="1" applyBorder="1" applyAlignment="1">
      <alignment vertical="top" wrapText="1"/>
    </xf>
    <xf numFmtId="167" fontId="18" fillId="0" borderId="97" xfId="45" applyNumberFormat="1" applyFont="1" applyFill="1" applyBorder="1" applyAlignment="1">
      <alignment vertical="top" wrapText="1"/>
    </xf>
    <xf numFmtId="167" fontId="3" fillId="0" borderId="12" xfId="45" applyNumberFormat="1" applyFont="1" applyBorder="1" applyAlignment="1">
      <alignment vertical="top" wrapText="1"/>
    </xf>
    <xf numFmtId="167" fontId="3" fillId="0" borderId="21" xfId="45" applyNumberFormat="1" applyFont="1" applyBorder="1" applyAlignment="1">
      <alignment vertical="top" wrapText="1"/>
    </xf>
    <xf numFmtId="167" fontId="7" fillId="0" borderId="98" xfId="45" applyNumberFormat="1" applyFont="1" applyBorder="1" applyAlignment="1">
      <alignment vertical="top" wrapText="1"/>
    </xf>
    <xf numFmtId="167" fontId="3" fillId="0" borderId="99" xfId="45" applyNumberFormat="1" applyFont="1" applyBorder="1" applyAlignment="1">
      <alignment vertical="top" wrapText="1"/>
    </xf>
    <xf numFmtId="167" fontId="3" fillId="4" borderId="76" xfId="45" applyNumberFormat="1" applyFont="1" applyFill="1" applyBorder="1" applyAlignment="1">
      <alignment vertical="top" wrapText="1"/>
    </xf>
    <xf numFmtId="167" fontId="3" fillId="4" borderId="99" xfId="45" applyNumberFormat="1" applyFont="1" applyFill="1" applyBorder="1" applyAlignment="1">
      <alignment vertical="top" wrapText="1"/>
    </xf>
    <xf numFmtId="167" fontId="3" fillId="4" borderId="12" xfId="45" applyNumberFormat="1" applyFont="1" applyFill="1" applyBorder="1" applyAlignment="1">
      <alignment vertical="top" wrapText="1"/>
    </xf>
    <xf numFmtId="167" fontId="3" fillId="4" borderId="100" xfId="45" applyNumberFormat="1" applyFont="1" applyFill="1" applyBorder="1" applyAlignment="1">
      <alignment vertical="top" wrapText="1"/>
    </xf>
    <xf numFmtId="167" fontId="3" fillId="0" borderId="12" xfId="45" applyNumberFormat="1" applyFont="1" applyFill="1" applyBorder="1" applyAlignment="1">
      <alignment vertical="top" wrapText="1"/>
    </xf>
    <xf numFmtId="167" fontId="3" fillId="4" borderId="21" xfId="45" applyNumberFormat="1" applyFont="1" applyFill="1" applyBorder="1" applyAlignment="1">
      <alignment vertical="top" wrapText="1"/>
    </xf>
    <xf numFmtId="167" fontId="7" fillId="0" borderId="101" xfId="45" applyNumberFormat="1" applyFont="1" applyBorder="1" applyAlignment="1">
      <alignment vertical="top" wrapText="1"/>
    </xf>
    <xf numFmtId="167" fontId="3" fillId="0" borderId="102" xfId="45" applyNumberFormat="1" applyFont="1" applyBorder="1" applyAlignment="1">
      <alignment vertical="top" wrapText="1"/>
    </xf>
    <xf numFmtId="167" fontId="15" fillId="0" borderId="12" xfId="45" applyNumberFormat="1" applyFont="1" applyBorder="1" applyAlignment="1">
      <alignment vertical="top" wrapText="1"/>
    </xf>
    <xf numFmtId="167" fontId="3" fillId="0" borderId="96" xfId="45" applyNumberFormat="1" applyFont="1" applyBorder="1" applyAlignment="1">
      <alignment vertical="top" wrapText="1"/>
    </xf>
    <xf numFmtId="167" fontId="7" fillId="0" borderId="12" xfId="45" applyNumberFormat="1" applyFont="1" applyBorder="1" applyAlignment="1">
      <alignment vertical="top" wrapText="1"/>
    </xf>
    <xf numFmtId="167" fontId="3" fillId="0" borderId="103" xfId="45" applyNumberFormat="1" applyFont="1" applyBorder="1" applyAlignment="1">
      <alignment vertical="top" wrapText="1"/>
    </xf>
    <xf numFmtId="167" fontId="8" fillId="5" borderId="38" xfId="45" applyNumberFormat="1" applyFont="1" applyFill="1" applyBorder="1" applyAlignment="1">
      <alignment vertical="top" wrapText="1"/>
    </xf>
    <xf numFmtId="0" fontId="10" fillId="2" borderId="104" xfId="0" applyFont="1" applyFill="1" applyBorder="1" applyAlignment="1">
      <alignment horizontal="center" vertical="center" wrapText="1"/>
    </xf>
    <xf numFmtId="0" fontId="3" fillId="0" borderId="105" xfId="0" applyFont="1" applyBorder="1" applyAlignment="1">
      <alignment vertical="top" wrapText="1"/>
    </xf>
    <xf numFmtId="165" fontId="3" fillId="0" borderId="105" xfId="0" applyNumberFormat="1" applyFont="1" applyBorder="1" applyAlignment="1">
      <alignment vertical="top" wrapText="1"/>
    </xf>
    <xf numFmtId="167" fontId="3" fillId="0" borderId="105" xfId="45" applyNumberFormat="1" applyFont="1" applyBorder="1" applyAlignment="1">
      <alignment vertical="top" wrapText="1"/>
    </xf>
    <xf numFmtId="167" fontId="3" fillId="0" borderId="106" xfId="45" applyNumberFormat="1" applyFont="1" applyBorder="1" applyAlignment="1">
      <alignment vertical="top" wrapText="1"/>
    </xf>
    <xf numFmtId="167" fontId="3" fillId="0" borderId="107" xfId="45" applyNumberFormat="1" applyFont="1" applyBorder="1" applyAlignment="1">
      <alignment vertical="top" wrapText="1"/>
    </xf>
    <xf numFmtId="167" fontId="3" fillId="4" borderId="60" xfId="45" applyNumberFormat="1" applyFont="1" applyFill="1" applyBorder="1" applyAlignment="1">
      <alignment vertical="top" wrapText="1"/>
    </xf>
    <xf numFmtId="167" fontId="3" fillId="4" borderId="108" xfId="45" applyNumberFormat="1" applyFont="1" applyFill="1" applyBorder="1" applyAlignment="1">
      <alignment vertical="center" wrapText="1"/>
    </xf>
    <xf numFmtId="167" fontId="3" fillId="4" borderId="105" xfId="45" applyNumberFormat="1" applyFont="1" applyFill="1" applyBorder="1" applyAlignment="1">
      <alignment vertical="center" wrapText="1"/>
    </xf>
    <xf numFmtId="167" fontId="3" fillId="4" borderId="105" xfId="45" applyNumberFormat="1" applyFont="1" applyFill="1" applyBorder="1" applyAlignment="1">
      <alignment vertical="top" wrapText="1"/>
    </xf>
    <xf numFmtId="167" fontId="3" fillId="4" borderId="109" xfId="45" applyNumberFormat="1" applyFont="1" applyFill="1" applyBorder="1" applyAlignment="1">
      <alignment vertical="top" wrapText="1"/>
    </xf>
    <xf numFmtId="167" fontId="3" fillId="6" borderId="105" xfId="45" applyNumberFormat="1" applyFont="1" applyFill="1" applyBorder="1" applyAlignment="1">
      <alignment vertical="top" wrapText="1"/>
    </xf>
    <xf numFmtId="167" fontId="3" fillId="0" borderId="105" xfId="45" applyNumberFormat="1" applyFont="1" applyFill="1" applyBorder="1" applyAlignment="1">
      <alignment vertical="top" wrapText="1"/>
    </xf>
    <xf numFmtId="167" fontId="13" fillId="0" borderId="105" xfId="45" applyNumberFormat="1" applyFont="1" applyBorder="1" applyAlignment="1">
      <alignment vertical="top" wrapText="1"/>
    </xf>
    <xf numFmtId="167" fontId="37" fillId="0" borderId="105" xfId="45" applyNumberFormat="1" applyFont="1" applyBorder="1" applyAlignment="1">
      <alignment vertical="top" wrapText="1"/>
    </xf>
    <xf numFmtId="49" fontId="27" fillId="2" borderId="11" xfId="0" applyNumberFormat="1" applyFont="1" applyFill="1" applyBorder="1" applyAlignment="1">
      <alignment horizontal="center" vertical="top" wrapText="1"/>
    </xf>
    <xf numFmtId="167" fontId="3" fillId="0" borderId="100" xfId="45" applyNumberFormat="1" applyFont="1" applyBorder="1" applyAlignment="1">
      <alignment vertical="top" wrapText="1"/>
    </xf>
    <xf numFmtId="167" fontId="7" fillId="0" borderId="112" xfId="45" applyNumberFormat="1" applyFont="1" applyBorder="1" applyAlignment="1">
      <alignment vertical="top" wrapText="1"/>
    </xf>
    <xf numFmtId="167" fontId="7" fillId="0" borderId="113" xfId="45" applyNumberFormat="1" applyFont="1" applyBorder="1" applyAlignment="1">
      <alignment vertical="top" wrapText="1"/>
    </xf>
    <xf numFmtId="167" fontId="3" fillId="0" borderId="114" xfId="45" applyNumberFormat="1" applyFont="1" applyBorder="1" applyAlignment="1">
      <alignment vertical="top" wrapText="1"/>
    </xf>
    <xf numFmtId="167" fontId="3" fillId="0" borderId="76" xfId="45" applyNumberFormat="1" applyFont="1" applyBorder="1" applyAlignment="1">
      <alignment vertical="top" wrapText="1"/>
    </xf>
    <xf numFmtId="167" fontId="15" fillId="0" borderId="76" xfId="45" applyNumberFormat="1" applyFont="1" applyBorder="1" applyAlignment="1">
      <alignment vertical="top" wrapText="1"/>
    </xf>
    <xf numFmtId="0" fontId="10" fillId="2" borderId="104" xfId="0" applyFont="1" applyFill="1" applyBorder="1" applyAlignment="1">
      <alignment vertical="top" wrapText="1"/>
    </xf>
    <xf numFmtId="167" fontId="3" fillId="0" borderId="109" xfId="45" applyNumberFormat="1" applyFont="1" applyBorder="1" applyAlignment="1">
      <alignment vertical="top" wrapText="1"/>
    </xf>
    <xf numFmtId="167" fontId="3" fillId="0" borderId="108" xfId="45" applyNumberFormat="1" applyFont="1" applyBorder="1" applyAlignment="1">
      <alignment vertical="top" wrapText="1"/>
    </xf>
    <xf numFmtId="167" fontId="3" fillId="0" borderId="60" xfId="45" applyNumberFormat="1" applyFont="1" applyBorder="1" applyAlignment="1">
      <alignment vertical="top" wrapText="1"/>
    </xf>
    <xf numFmtId="167" fontId="3" fillId="0" borderId="116" xfId="45" applyNumberFormat="1" applyFont="1" applyBorder="1" applyAlignment="1">
      <alignment vertical="top" wrapText="1"/>
    </xf>
    <xf numFmtId="167" fontId="2" fillId="0" borderId="105" xfId="45" applyNumberFormat="1" applyFont="1" applyBorder="1" applyAlignment="1">
      <alignment vertical="top" wrapText="1"/>
    </xf>
    <xf numFmtId="167" fontId="2" fillId="0" borderId="115" xfId="45" applyNumberFormat="1" applyFont="1" applyBorder="1" applyAlignment="1">
      <alignment vertical="top" wrapText="1"/>
    </xf>
    <xf numFmtId="167" fontId="2" fillId="0" borderId="108" xfId="45" applyNumberFormat="1" applyFont="1" applyBorder="1" applyAlignment="1">
      <alignment vertical="top" wrapText="1"/>
    </xf>
    <xf numFmtId="167" fontId="2" fillId="0" borderId="111" xfId="45" applyNumberFormat="1" applyFont="1" applyBorder="1" applyAlignment="1">
      <alignment vertical="top" wrapText="1"/>
    </xf>
    <xf numFmtId="167" fontId="2" fillId="0" borderId="110" xfId="45" applyNumberFormat="1" applyFont="1" applyBorder="1" applyAlignment="1">
      <alignment vertical="top" wrapText="1"/>
    </xf>
    <xf numFmtId="167" fontId="2" fillId="4" borderId="107" xfId="45" applyNumberFormat="1" applyFont="1" applyFill="1" applyBorder="1" applyAlignment="1">
      <alignment vertical="top" wrapText="1"/>
    </xf>
    <xf numFmtId="0" fontId="34" fillId="15" borderId="60" xfId="0" applyNumberFormat="1" applyFont="1" applyFill="1" applyBorder="1" applyAlignment="1">
      <alignment vertical="center" wrapText="1"/>
    </xf>
    <xf numFmtId="164" fontId="34" fillId="15" borderId="15" xfId="0" applyNumberFormat="1" applyFont="1" applyFill="1" applyBorder="1" applyAlignment="1">
      <alignment horizontal="right" vertical="center" wrapText="1"/>
    </xf>
    <xf numFmtId="164" fontId="3" fillId="15" borderId="15" xfId="0" applyNumberFormat="1" applyFont="1" applyFill="1" applyBorder="1" applyAlignment="1">
      <alignment vertical="center" wrapText="1"/>
    </xf>
    <xf numFmtId="0" fontId="7" fillId="15" borderId="35" xfId="0" applyNumberFormat="1" applyFont="1" applyFill="1" applyBorder="1" applyAlignment="1">
      <alignment vertical="top" wrapText="1"/>
    </xf>
    <xf numFmtId="164" fontId="7" fillId="15" borderId="48" xfId="0" applyNumberFormat="1" applyFont="1" applyFill="1" applyBorder="1" applyAlignment="1">
      <alignment vertical="top" wrapText="1"/>
    </xf>
    <xf numFmtId="164" fontId="7" fillId="15" borderId="36" xfId="0" applyNumberFormat="1" applyFont="1" applyFill="1" applyBorder="1" applyAlignment="1">
      <alignment horizontal="right" vertical="top" wrapText="1"/>
    </xf>
    <xf numFmtId="0" fontId="0" fillId="0" borderId="0" xfId="0" applyFont="1" applyFill="1" applyAlignment="1">
      <alignment horizontal="left" vertical="center" wrapText="1"/>
    </xf>
    <xf numFmtId="167" fontId="3" fillId="0" borderId="0" xfId="45" applyNumberFormat="1" applyFont="1" applyBorder="1" applyAlignment="1">
      <alignment vertical="center" wrapText="1"/>
    </xf>
    <xf numFmtId="167" fontId="3" fillId="0" borderId="0" xfId="45" applyNumberFormat="1" applyFont="1" applyFill="1" applyBorder="1" applyAlignment="1">
      <alignment vertical="center" wrapText="1"/>
    </xf>
    <xf numFmtId="167" fontId="3" fillId="14" borderId="0" xfId="45" applyNumberFormat="1" applyFont="1" applyFill="1" applyBorder="1" applyAlignment="1">
      <alignment vertical="center" wrapText="1"/>
    </xf>
    <xf numFmtId="167" fontId="3" fillId="0" borderId="0" xfId="0" applyNumberFormat="1" applyFont="1" applyBorder="1" applyAlignment="1">
      <alignment vertical="center" wrapText="1"/>
    </xf>
    <xf numFmtId="167" fontId="3" fillId="14" borderId="0" xfId="0" applyNumberFormat="1" applyFont="1" applyFill="1" applyBorder="1" applyAlignment="1">
      <alignment vertical="center" wrapText="1"/>
    </xf>
    <xf numFmtId="0" fontId="18" fillId="0" borderId="0" xfId="0" applyNumberFormat="1" applyFont="1" applyAlignment="1">
      <alignment vertical="top" wrapText="1"/>
    </xf>
    <xf numFmtId="166" fontId="18" fillId="0" borderId="0" xfId="0" applyNumberFormat="1" applyFont="1" applyAlignment="1">
      <alignment vertical="top" wrapText="1"/>
    </xf>
    <xf numFmtId="166" fontId="18" fillId="10" borderId="34" xfId="0" applyNumberFormat="1" applyFont="1" applyFill="1" applyBorder="1" applyAlignment="1">
      <alignment vertical="center" wrapText="1"/>
    </xf>
    <xf numFmtId="166" fontId="18" fillId="0" borderId="0" xfId="0" applyNumberFormat="1" applyFont="1" applyAlignment="1">
      <alignment vertical="center" wrapText="1"/>
    </xf>
    <xf numFmtId="168" fontId="5" fillId="0" borderId="7" xfId="46" applyNumberFormat="1" applyFont="1" applyBorder="1"/>
    <xf numFmtId="49" fontId="2" fillId="9" borderId="55" xfId="0" applyNumberFormat="1" applyFont="1" applyFill="1" applyBorder="1" applyAlignment="1">
      <alignment horizontal="left" vertical="center" wrapText="1"/>
    </xf>
    <xf numFmtId="49" fontId="2" fillId="9" borderId="118" xfId="0" applyNumberFormat="1" applyFont="1" applyFill="1" applyBorder="1" applyAlignment="1">
      <alignment horizontal="center" vertical="center" wrapText="1"/>
    </xf>
    <xf numFmtId="49" fontId="2" fillId="9" borderId="119" xfId="0" applyNumberFormat="1" applyFont="1" applyFill="1" applyBorder="1" applyAlignment="1">
      <alignment horizontal="center" vertical="center" wrapText="1"/>
    </xf>
    <xf numFmtId="49" fontId="2" fillId="9" borderId="120" xfId="0" applyNumberFormat="1" applyFont="1" applyFill="1" applyBorder="1" applyAlignment="1">
      <alignment horizontal="center" vertical="center" wrapText="1"/>
    </xf>
    <xf numFmtId="49" fontId="2" fillId="9" borderId="121" xfId="0" applyNumberFormat="1" applyFont="1" applyFill="1" applyBorder="1" applyAlignment="1">
      <alignment horizontal="center" vertical="center" wrapText="1"/>
    </xf>
    <xf numFmtId="49" fontId="2" fillId="9" borderId="122" xfId="0" applyNumberFormat="1" applyFont="1" applyFill="1" applyBorder="1" applyAlignment="1">
      <alignment horizontal="center" vertical="center" wrapText="1"/>
    </xf>
    <xf numFmtId="0" fontId="3" fillId="0" borderId="70" xfId="0" applyFont="1" applyBorder="1" applyAlignment="1">
      <alignment vertical="top" wrapText="1"/>
    </xf>
    <xf numFmtId="0" fontId="3" fillId="0" borderId="123" xfId="0" applyFont="1" applyBorder="1" applyAlignment="1">
      <alignment vertical="top" wrapText="1"/>
    </xf>
    <xf numFmtId="0" fontId="3" fillId="0" borderId="124" xfId="0" applyFont="1" applyBorder="1" applyAlignment="1">
      <alignment vertical="top" wrapText="1"/>
    </xf>
    <xf numFmtId="0" fontId="3" fillId="0" borderId="76" xfId="0" applyFont="1" applyBorder="1" applyAlignment="1">
      <alignment vertical="top" wrapText="1"/>
    </xf>
    <xf numFmtId="0" fontId="3" fillId="0" borderId="60" xfId="0" applyFont="1" applyBorder="1" applyAlignment="1">
      <alignment vertical="top" wrapText="1"/>
    </xf>
    <xf numFmtId="0" fontId="3" fillId="0" borderId="125" xfId="0" applyFont="1" applyBorder="1" applyAlignment="1">
      <alignment vertical="top" wrapText="1"/>
    </xf>
    <xf numFmtId="0" fontId="3" fillId="0" borderId="70" xfId="0" applyNumberFormat="1" applyFont="1" applyBorder="1" applyAlignment="1">
      <alignment vertical="top" wrapText="1"/>
    </xf>
    <xf numFmtId="165" fontId="3" fillId="0" borderId="123" xfId="0" applyNumberFormat="1" applyFont="1" applyBorder="1" applyAlignment="1">
      <alignment vertical="top" wrapText="1"/>
    </xf>
    <xf numFmtId="0" fontId="3" fillId="0" borderId="124" xfId="0" applyNumberFormat="1" applyFont="1" applyBorder="1" applyAlignment="1">
      <alignment vertical="top" wrapText="1"/>
    </xf>
    <xf numFmtId="165" fontId="3" fillId="0" borderId="76" xfId="0" applyNumberFormat="1" applyFont="1" applyBorder="1" applyAlignment="1">
      <alignment vertical="top" wrapText="1"/>
    </xf>
    <xf numFmtId="0" fontId="3" fillId="0" borderId="60" xfId="0" applyNumberFormat="1" applyFont="1" applyBorder="1" applyAlignment="1">
      <alignment vertical="top" wrapText="1"/>
    </xf>
    <xf numFmtId="165" fontId="3" fillId="0" borderId="125" xfId="0" applyNumberFormat="1" applyFont="1" applyBorder="1" applyAlignment="1">
      <alignment vertical="top" wrapText="1"/>
    </xf>
    <xf numFmtId="0" fontId="3" fillId="0" borderId="70" xfId="0" applyNumberFormat="1" applyFont="1" applyFill="1" applyBorder="1" applyAlignment="1">
      <alignment vertical="top" wrapText="1"/>
    </xf>
    <xf numFmtId="165" fontId="3" fillId="0" borderId="123" xfId="0" applyNumberFormat="1" applyFont="1" applyFill="1" applyBorder="1" applyAlignment="1">
      <alignment vertical="top" wrapText="1"/>
    </xf>
    <xf numFmtId="0" fontId="3" fillId="0" borderId="124" xfId="0" applyNumberFormat="1" applyFont="1" applyFill="1" applyBorder="1" applyAlignment="1">
      <alignment vertical="top" wrapText="1"/>
    </xf>
    <xf numFmtId="165" fontId="3" fillId="0" borderId="76" xfId="0" applyNumberFormat="1" applyFont="1" applyFill="1" applyBorder="1" applyAlignment="1">
      <alignment vertical="top" wrapText="1"/>
    </xf>
    <xf numFmtId="0" fontId="3" fillId="0" borderId="60" xfId="0" applyNumberFormat="1" applyFont="1" applyFill="1" applyBorder="1" applyAlignment="1">
      <alignment vertical="top" wrapText="1"/>
    </xf>
    <xf numFmtId="165" fontId="3" fillId="0" borderId="125" xfId="0" applyNumberFormat="1" applyFont="1" applyFill="1" applyBorder="1" applyAlignment="1">
      <alignment vertical="top" wrapText="1"/>
    </xf>
    <xf numFmtId="0" fontId="3" fillId="0" borderId="70" xfId="0" applyFont="1" applyFill="1" applyBorder="1" applyAlignment="1">
      <alignment vertical="top" wrapText="1"/>
    </xf>
    <xf numFmtId="0" fontId="3" fillId="0" borderId="124" xfId="0" applyFont="1" applyFill="1" applyBorder="1" applyAlignment="1">
      <alignment vertical="top" wrapText="1"/>
    </xf>
    <xf numFmtId="0" fontId="3" fillId="0" borderId="60" xfId="0" applyFont="1" applyFill="1" applyBorder="1" applyAlignment="1">
      <alignment vertical="top" wrapText="1"/>
    </xf>
    <xf numFmtId="0" fontId="5" fillId="3" borderId="49" xfId="0" applyNumberFormat="1" applyFont="1" applyFill="1" applyBorder="1" applyAlignment="1">
      <alignment horizontal="left" vertical="top" wrapText="1"/>
    </xf>
    <xf numFmtId="0" fontId="3" fillId="0" borderId="126" xfId="0" applyFont="1" applyBorder="1" applyAlignment="1">
      <alignment vertical="top" wrapText="1"/>
    </xf>
    <xf numFmtId="6" fontId="3" fillId="0" borderId="10" xfId="0" applyNumberFormat="1" applyFont="1" applyBorder="1" applyAlignment="1">
      <alignment vertical="top" wrapText="1"/>
    </xf>
    <xf numFmtId="165" fontId="3" fillId="0" borderId="127" xfId="0" applyNumberFormat="1" applyFont="1" applyBorder="1" applyAlignment="1">
      <alignment vertical="top" wrapText="1"/>
    </xf>
    <xf numFmtId="0" fontId="3" fillId="0" borderId="128" xfId="0" applyFont="1" applyBorder="1" applyAlignment="1">
      <alignment vertical="top" wrapText="1"/>
    </xf>
    <xf numFmtId="165" fontId="3" fillId="0" borderId="49" xfId="0" applyNumberFormat="1" applyFont="1" applyBorder="1" applyAlignment="1">
      <alignment vertical="top" wrapText="1"/>
    </xf>
    <xf numFmtId="0" fontId="3" fillId="0" borderId="129" xfId="0" applyFont="1" applyBorder="1" applyAlignment="1">
      <alignment vertical="top" wrapText="1"/>
    </xf>
    <xf numFmtId="165" fontId="3" fillId="0" borderId="130" xfId="0" applyNumberFormat="1" applyFont="1" applyBorder="1" applyAlignment="1">
      <alignment vertical="top" wrapText="1"/>
    </xf>
    <xf numFmtId="49" fontId="18" fillId="10" borderId="49" xfId="0" applyNumberFormat="1" applyFont="1" applyFill="1" applyBorder="1" applyAlignment="1">
      <alignment horizontal="left" vertical="center" wrapText="1"/>
    </xf>
    <xf numFmtId="49" fontId="18" fillId="10" borderId="131" xfId="0" applyNumberFormat="1" applyFont="1" applyFill="1" applyBorder="1" applyAlignment="1">
      <alignment vertical="top" wrapText="1"/>
    </xf>
    <xf numFmtId="165" fontId="18" fillId="10" borderId="132" xfId="0" applyNumberFormat="1" applyFont="1" applyFill="1" applyBorder="1" applyAlignment="1">
      <alignment vertical="top" wrapText="1"/>
    </xf>
    <xf numFmtId="49" fontId="18" fillId="10" borderId="33" xfId="0" applyNumberFormat="1" applyFont="1" applyFill="1" applyBorder="1" applyAlignment="1">
      <alignment vertical="top" wrapText="1"/>
    </xf>
    <xf numFmtId="165" fontId="18" fillId="10" borderId="33" xfId="0" applyNumberFormat="1" applyFont="1" applyFill="1" applyBorder="1" applyAlignment="1">
      <alignment vertical="top" wrapText="1"/>
    </xf>
    <xf numFmtId="49" fontId="18" fillId="10" borderId="133" xfId="0" applyNumberFormat="1" applyFont="1" applyFill="1" applyBorder="1" applyAlignment="1">
      <alignment vertical="top" wrapText="1"/>
    </xf>
    <xf numFmtId="165" fontId="18" fillId="10" borderId="134" xfId="0" applyNumberFormat="1" applyFont="1" applyFill="1" applyBorder="1" applyAlignment="1">
      <alignment vertical="top" wrapText="1"/>
    </xf>
    <xf numFmtId="167" fontId="3" fillId="0" borderId="135" xfId="45" applyNumberFormat="1" applyFont="1" applyBorder="1" applyAlignment="1">
      <alignment vertical="top" wrapText="1"/>
    </xf>
    <xf numFmtId="167" fontId="3" fillId="0" borderId="124" xfId="45" applyNumberFormat="1" applyFont="1" applyBorder="1" applyAlignment="1">
      <alignment vertical="top" wrapText="1"/>
    </xf>
    <xf numFmtId="167" fontId="3" fillId="0" borderId="136" xfId="45" applyNumberFormat="1" applyFont="1" applyBorder="1" applyAlignment="1">
      <alignment vertical="top" wrapText="1"/>
    </xf>
    <xf numFmtId="167" fontId="3" fillId="0" borderId="138" xfId="45" applyNumberFormat="1" applyFont="1" applyBorder="1" applyAlignment="1">
      <alignment vertical="top" wrapText="1"/>
    </xf>
    <xf numFmtId="167" fontId="3" fillId="0" borderId="137" xfId="45" applyNumberFormat="1" applyFont="1" applyBorder="1" applyAlignment="1">
      <alignment vertical="top" wrapText="1"/>
    </xf>
    <xf numFmtId="167" fontId="3" fillId="0" borderId="139" xfId="45" applyNumberFormat="1" applyFont="1" applyBorder="1" applyAlignment="1">
      <alignment vertical="top" wrapText="1"/>
    </xf>
    <xf numFmtId="49" fontId="5" fillId="3" borderId="138" xfId="0" applyNumberFormat="1" applyFont="1" applyFill="1" applyBorder="1" applyAlignment="1">
      <alignment horizontal="left" vertical="center" wrapText="1"/>
    </xf>
    <xf numFmtId="167" fontId="3" fillId="0" borderId="141" xfId="45" applyNumberFormat="1" applyFont="1" applyBorder="1" applyAlignment="1">
      <alignment vertical="top" wrapText="1"/>
    </xf>
    <xf numFmtId="0" fontId="3" fillId="0" borderId="140" xfId="0" applyNumberFormat="1" applyFont="1" applyBorder="1" applyAlignment="1">
      <alignment vertical="top" wrapText="1"/>
    </xf>
    <xf numFmtId="167" fontId="3" fillId="0" borderId="142" xfId="45" applyNumberFormat="1" applyFont="1" applyBorder="1" applyAlignment="1">
      <alignment vertical="top" wrapText="1"/>
    </xf>
    <xf numFmtId="167" fontId="3" fillId="0" borderId="143" xfId="45" applyNumberFormat="1" applyFont="1" applyBorder="1" applyAlignment="1">
      <alignment vertical="top" wrapText="1"/>
    </xf>
    <xf numFmtId="167" fontId="3" fillId="0" borderId="144" xfId="45" applyNumberFormat="1" applyFont="1" applyBorder="1" applyAlignment="1">
      <alignment vertical="top" wrapText="1"/>
    </xf>
    <xf numFmtId="49" fontId="5" fillId="3" borderId="145" xfId="0" applyNumberFormat="1" applyFont="1" applyFill="1" applyBorder="1" applyAlignment="1">
      <alignment horizontal="left" vertical="center" wrapText="1"/>
    </xf>
    <xf numFmtId="167" fontId="3" fillId="0" borderId="146" xfId="45" applyNumberFormat="1" applyFont="1" applyBorder="1" applyAlignment="1">
      <alignment vertical="top" wrapText="1"/>
    </xf>
    <xf numFmtId="167" fontId="3" fillId="0" borderId="147" xfId="45" applyNumberFormat="1" applyFont="1" applyBorder="1" applyAlignment="1">
      <alignment vertical="top" wrapText="1"/>
    </xf>
    <xf numFmtId="167" fontId="3" fillId="0" borderId="148" xfId="45" applyNumberFormat="1" applyFont="1" applyBorder="1" applyAlignment="1">
      <alignment vertical="top" wrapText="1"/>
    </xf>
    <xf numFmtId="167" fontId="3" fillId="0" borderId="111" xfId="45" applyNumberFormat="1" applyFont="1" applyBorder="1" applyAlignment="1">
      <alignment vertical="top" wrapText="1"/>
    </xf>
    <xf numFmtId="0" fontId="41" fillId="0" borderId="0" xfId="0" applyFont="1" applyAlignment="1">
      <alignment vertical="top" wrapText="1"/>
    </xf>
    <xf numFmtId="0" fontId="23" fillId="0" borderId="0" xfId="0" applyFont="1" applyAlignment="1">
      <alignment horizontal="left" vertical="center"/>
    </xf>
    <xf numFmtId="167" fontId="2" fillId="0" borderId="106" xfId="45" applyNumberFormat="1" applyFont="1" applyBorder="1" applyAlignment="1">
      <alignment vertical="top" wrapText="1"/>
    </xf>
    <xf numFmtId="167" fontId="2" fillId="0" borderId="60" xfId="45" applyNumberFormat="1" applyFont="1" applyBorder="1" applyAlignment="1">
      <alignment vertical="top" wrapText="1"/>
    </xf>
    <xf numFmtId="44" fontId="3" fillId="14" borderId="0" xfId="45" applyNumberFormat="1" applyFont="1" applyFill="1" applyBorder="1" applyAlignment="1">
      <alignment vertical="center" wrapText="1"/>
    </xf>
    <xf numFmtId="0" fontId="23" fillId="0" borderId="0" xfId="0" applyFont="1" applyAlignment="1">
      <alignment horizontal="left" vertical="center"/>
    </xf>
    <xf numFmtId="0" fontId="35" fillId="0" borderId="0" xfId="0" applyNumberFormat="1" applyFont="1" applyAlignment="1">
      <alignment horizontal="left" vertical="center" wrapText="1"/>
    </xf>
    <xf numFmtId="0" fontId="3" fillId="0" borderId="67" xfId="0" applyNumberFormat="1" applyFont="1" applyBorder="1" applyAlignment="1">
      <alignment horizontal="center" vertical="center" wrapText="1"/>
    </xf>
    <xf numFmtId="0" fontId="24" fillId="8" borderId="33" xfId="0" applyFont="1" applyFill="1" applyBorder="1" applyAlignment="1">
      <alignment horizontal="center" vertical="center"/>
    </xf>
    <xf numFmtId="0" fontId="22" fillId="0" borderId="34" xfId="0" applyFont="1" applyBorder="1" applyAlignment="1">
      <alignment horizontal="left" vertical="center" wrapText="1"/>
    </xf>
    <xf numFmtId="0" fontId="29" fillId="8" borderId="34" xfId="0" applyFont="1" applyFill="1" applyBorder="1" applyAlignment="1">
      <alignment horizontal="left" vertical="center"/>
    </xf>
    <xf numFmtId="0" fontId="3" fillId="0" borderId="0" xfId="0" applyNumberFormat="1" applyFont="1" applyAlignment="1">
      <alignment horizontal="left" vertical="top" wrapText="1"/>
    </xf>
    <xf numFmtId="0" fontId="21" fillId="2" borderId="33" xfId="0" applyFont="1" applyFill="1" applyBorder="1" applyAlignment="1">
      <alignment horizontal="center" vertical="center"/>
    </xf>
    <xf numFmtId="0" fontId="22" fillId="0" borderId="33" xfId="0" applyFont="1" applyBorder="1" applyAlignment="1">
      <alignment horizontal="left" vertical="center" wrapText="1"/>
    </xf>
    <xf numFmtId="0" fontId="25" fillId="9" borderId="0" xfId="0" applyFont="1" applyFill="1" applyAlignment="1">
      <alignment horizontal="center" vertical="center"/>
    </xf>
    <xf numFmtId="49" fontId="18" fillId="10" borderId="34" xfId="0" applyNumberFormat="1" applyFont="1" applyFill="1" applyBorder="1" applyAlignment="1">
      <alignment horizontal="left" vertical="center" wrapText="1"/>
    </xf>
    <xf numFmtId="164" fontId="7" fillId="4" borderId="41" xfId="0" applyNumberFormat="1" applyFont="1" applyFill="1" applyBorder="1" applyAlignment="1">
      <alignment horizontal="left" vertical="center" wrapText="1"/>
    </xf>
    <xf numFmtId="164" fontId="7" fillId="4" borderId="42" xfId="0" applyNumberFormat="1" applyFont="1" applyFill="1" applyBorder="1" applyAlignment="1">
      <alignment horizontal="left" vertical="center" wrapText="1"/>
    </xf>
    <xf numFmtId="49" fontId="7" fillId="4" borderId="41" xfId="0" applyNumberFormat="1" applyFont="1" applyFill="1" applyBorder="1" applyAlignment="1">
      <alignment horizontal="left" vertical="top" wrapText="1"/>
    </xf>
    <xf numFmtId="49" fontId="7" fillId="4" borderId="42" xfId="0" applyNumberFormat="1" applyFont="1" applyFill="1" applyBorder="1" applyAlignment="1">
      <alignment horizontal="left" vertical="top" wrapText="1"/>
    </xf>
    <xf numFmtId="49" fontId="7" fillId="0" borderId="41" xfId="0" applyNumberFormat="1" applyFont="1" applyBorder="1" applyAlignment="1">
      <alignment horizontal="left" vertical="top" wrapText="1"/>
    </xf>
    <xf numFmtId="49" fontId="7" fillId="0" borderId="42" xfId="0" applyNumberFormat="1" applyFont="1" applyBorder="1" applyAlignment="1">
      <alignment horizontal="left" vertical="top" wrapText="1"/>
    </xf>
    <xf numFmtId="0" fontId="7" fillId="0" borderId="62" xfId="0" applyNumberFormat="1" applyFont="1" applyBorder="1" applyAlignment="1">
      <alignment horizontal="left" vertical="center" wrapText="1"/>
    </xf>
    <xf numFmtId="0" fontId="7" fillId="0" borderId="44" xfId="0" applyNumberFormat="1" applyFont="1" applyBorder="1" applyAlignment="1">
      <alignment horizontal="left" vertical="center" wrapText="1"/>
    </xf>
    <xf numFmtId="0" fontId="25" fillId="9" borderId="0" xfId="0" applyNumberFormat="1" applyFont="1" applyFill="1" applyBorder="1" applyAlignment="1">
      <alignment horizontal="center" vertical="center" wrapText="1"/>
    </xf>
    <xf numFmtId="0" fontId="25" fillId="9" borderId="43" xfId="0" applyNumberFormat="1" applyFont="1" applyFill="1" applyBorder="1" applyAlignment="1">
      <alignment horizontal="center" vertical="center" wrapText="1"/>
    </xf>
    <xf numFmtId="0" fontId="28" fillId="9" borderId="12" xfId="0" applyFont="1" applyFill="1" applyBorder="1" applyAlignment="1">
      <alignment horizontal="left" vertical="center"/>
    </xf>
    <xf numFmtId="0" fontId="28" fillId="9" borderId="13" xfId="0" applyFont="1" applyFill="1" applyBorder="1" applyAlignment="1">
      <alignment horizontal="left" vertical="center"/>
    </xf>
    <xf numFmtId="0" fontId="25" fillId="9" borderId="0" xfId="0" applyFont="1" applyFill="1" applyAlignment="1">
      <alignment horizontal="center" vertical="center" wrapText="1"/>
    </xf>
    <xf numFmtId="0" fontId="38" fillId="0" borderId="117" xfId="115" applyFont="1" applyBorder="1" applyAlignment="1">
      <alignment horizontal="left" vertical="center" wrapText="1"/>
    </xf>
    <xf numFmtId="0" fontId="0" fillId="0" borderId="0" xfId="0" applyFont="1" applyAlignment="1">
      <alignment horizontal="left" vertical="top" wrapText="1"/>
    </xf>
    <xf numFmtId="0" fontId="32" fillId="0" borderId="0" xfId="0" applyFont="1" applyAlignment="1">
      <alignment horizontal="left" vertical="top" wrapText="1"/>
    </xf>
    <xf numFmtId="0" fontId="0" fillId="12" borderId="0" xfId="0" applyFont="1" applyFill="1" applyAlignment="1">
      <alignment horizontal="left" vertical="center" wrapText="1"/>
    </xf>
    <xf numFmtId="0" fontId="0" fillId="13" borderId="0" xfId="0" applyFont="1" applyFill="1" applyAlignment="1">
      <alignment horizontal="left" vertical="center" wrapText="1"/>
    </xf>
    <xf numFmtId="49" fontId="13" fillId="3" borderId="92" xfId="0" applyNumberFormat="1" applyFont="1" applyFill="1" applyBorder="1" applyAlignment="1">
      <alignment horizontal="left" vertical="center" wrapText="1"/>
    </xf>
    <xf numFmtId="49" fontId="13" fillId="3" borderId="93" xfId="0" applyNumberFormat="1" applyFont="1" applyFill="1" applyBorder="1" applyAlignment="1">
      <alignment horizontal="left" vertical="center" wrapText="1"/>
    </xf>
    <xf numFmtId="49" fontId="13" fillId="3" borderId="94" xfId="0" applyNumberFormat="1" applyFont="1" applyFill="1" applyBorder="1" applyAlignment="1">
      <alignment horizontal="left" vertical="center" wrapText="1"/>
    </xf>
    <xf numFmtId="0" fontId="39" fillId="12" borderId="0" xfId="0" applyFont="1" applyFill="1" applyAlignment="1">
      <alignment horizontal="left" vertical="center" wrapText="1"/>
    </xf>
    <xf numFmtId="0" fontId="39" fillId="13" borderId="0" xfId="0" applyFont="1" applyFill="1" applyAlignment="1">
      <alignment horizontal="left" vertical="center" wrapText="1"/>
    </xf>
    <xf numFmtId="0" fontId="0" fillId="13" borderId="0" xfId="0" applyFont="1" applyFill="1" applyAlignment="1">
      <alignment horizontal="left" vertical="top" wrapText="1"/>
    </xf>
    <xf numFmtId="0" fontId="25" fillId="9" borderId="0" xfId="0" applyNumberFormat="1" applyFont="1" applyFill="1" applyBorder="1" applyAlignment="1">
      <alignment horizontal="left" vertical="center" wrapText="1"/>
    </xf>
    <xf numFmtId="0" fontId="40" fillId="9" borderId="67" xfId="0" applyNumberFormat="1" applyFont="1" applyFill="1" applyBorder="1" applyAlignment="1">
      <alignment horizontal="center" vertical="center" wrapText="1"/>
    </xf>
  </cellXfs>
  <cellStyles count="116">
    <cellStyle name="Currency" xfId="45"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cellStyle name="Normal" xfId="0" builtinId="0"/>
    <cellStyle name="Percent" xfId="46" builtinId="5"/>
  </cellStyles>
  <dxfs count="0"/>
  <tableStyles count="0" defaultPivotStyle="PivotStyleMedium4"/>
  <colors>
    <indexedColors>
      <rgbColor rgb="FF000000"/>
      <rgbColor rgb="FFFFFFFF"/>
      <rgbColor rgb="FFFF0000"/>
      <rgbColor rgb="FF00FF00"/>
      <rgbColor rgb="FF0000FF"/>
      <rgbColor rgb="FFFFFF00"/>
      <rgbColor rgb="FFFF00FF"/>
      <rgbColor rgb="FF00FFFF"/>
      <rgbColor rgb="FF000000"/>
      <rgbColor rgb="FF165778"/>
      <rgbColor rgb="FFBDC0BF"/>
      <rgbColor rgb="FFA5A5A5"/>
      <rgbColor rgb="FF3F3F3F"/>
      <rgbColor rgb="FF3C0A49"/>
      <rgbColor rgb="FFDBDBDB"/>
      <rgbColor rgb="FF932092"/>
      <rgbColor rgb="FFFFE061"/>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1878542</xdr:colOff>
      <xdr:row>22</xdr:row>
      <xdr:rowOff>145521</xdr:rowOff>
    </xdr:to>
    <xdr:grpSp>
      <xdr:nvGrpSpPr>
        <xdr:cNvPr id="2" name="Group 1"/>
        <xdr:cNvGrpSpPr/>
      </xdr:nvGrpSpPr>
      <xdr:grpSpPr>
        <a:xfrm>
          <a:off x="7606771" y="0"/>
          <a:ext cx="3995209" cy="6852709"/>
          <a:chOff x="7302502" y="330729"/>
          <a:chExt cx="3955520" cy="6799792"/>
        </a:xfrm>
      </xdr:grpSpPr>
      <xdr:pic>
        <xdr:nvPicPr>
          <xdr:cNvPr id="3" name="Picture 2"/>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893" r="18942"/>
          <a:stretch/>
        </xdr:blipFill>
        <xdr:spPr>
          <a:xfrm>
            <a:off x="7302502" y="330729"/>
            <a:ext cx="3955520" cy="6799792"/>
          </a:xfrm>
          <a:prstGeom prst="rect">
            <a:avLst/>
          </a:prstGeom>
        </xdr:spPr>
      </xdr:pic>
      <xdr:sp macro="" textlink="">
        <xdr:nvSpPr>
          <xdr:cNvPr id="4" name="TextBox 3"/>
          <xdr:cNvSpPr txBox="1"/>
        </xdr:nvSpPr>
        <xdr:spPr>
          <a:xfrm>
            <a:off x="7461248" y="489478"/>
            <a:ext cx="3664481" cy="452945"/>
          </a:xfrm>
          <a:prstGeom prst="rect">
            <a:avLst/>
          </a:prstGeom>
          <a:solidFill>
            <a:schemeClr val="accent1">
              <a:lumMod val="40000"/>
              <a:lumOff val="6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en-US" sz="1000" b="0" i="0" u="none" strike="noStrike" cap="none" spc="0" normalizeH="0" baseline="0">
                <a:ln>
                  <a:noFill/>
                </a:ln>
                <a:solidFill>
                  <a:srgbClr val="000000"/>
                </a:solidFill>
                <a:effectLst/>
                <a:uFillTx/>
                <a:latin typeface="Avenir Next" charset="0"/>
                <a:ea typeface="Avenir Next" charset="0"/>
                <a:cs typeface="Avenir Next" charset="0"/>
                <a:sym typeface="Helvetica"/>
              </a:rPr>
              <a:t>2016 American Hop Convention-Small Grower Accounting Update. Craig Anderson, CPA. Moss-Adams LLP. pg 1/2</a:t>
            </a:r>
          </a:p>
        </xdr:txBody>
      </xdr:sp>
    </xdr:grpSp>
    <xdr:clientData/>
  </xdr:twoCellAnchor>
  <xdr:twoCellAnchor>
    <xdr:from>
      <xdr:col>5</xdr:col>
      <xdr:colOff>2037308</xdr:colOff>
      <xdr:row>0</xdr:row>
      <xdr:rowOff>52919</xdr:rowOff>
    </xdr:from>
    <xdr:to>
      <xdr:col>6</xdr:col>
      <xdr:colOff>463021</xdr:colOff>
      <xdr:row>22</xdr:row>
      <xdr:rowOff>157259</xdr:rowOff>
    </xdr:to>
    <xdr:grpSp>
      <xdr:nvGrpSpPr>
        <xdr:cNvPr id="5" name="Group 4"/>
        <xdr:cNvGrpSpPr/>
      </xdr:nvGrpSpPr>
      <xdr:grpSpPr>
        <a:xfrm>
          <a:off x="11760746" y="52919"/>
          <a:ext cx="3968733" cy="6811528"/>
          <a:chOff x="12501580" y="370417"/>
          <a:chExt cx="3968733" cy="6811528"/>
        </a:xfrm>
      </xdr:grpSpPr>
      <xdr:pic>
        <xdr:nvPicPr>
          <xdr:cNvPr id="6" name="Picture 5"/>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145" r="17618"/>
          <a:stretch/>
        </xdr:blipFill>
        <xdr:spPr>
          <a:xfrm>
            <a:off x="12501580" y="370417"/>
            <a:ext cx="3968733" cy="6811528"/>
          </a:xfrm>
          <a:prstGeom prst="rect">
            <a:avLst/>
          </a:prstGeom>
        </xdr:spPr>
      </xdr:pic>
      <xdr:sp macro="" textlink="">
        <xdr:nvSpPr>
          <xdr:cNvPr id="7" name="TextBox 6"/>
          <xdr:cNvSpPr txBox="1"/>
        </xdr:nvSpPr>
        <xdr:spPr>
          <a:xfrm>
            <a:off x="12647099" y="489478"/>
            <a:ext cx="3704167" cy="452945"/>
          </a:xfrm>
          <a:prstGeom prst="rect">
            <a:avLst/>
          </a:prstGeom>
          <a:solidFill>
            <a:schemeClr val="accent1">
              <a:lumMod val="40000"/>
              <a:lumOff val="60000"/>
            </a:schemeClr>
          </a:solid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50800" tIns="50800" rIns="50800" bIns="50800" numCol="1" spcCol="38100" rtlCol="0" anchor="t">
            <a:spAutoFit/>
          </a:bodyPr>
          <a:lstStyle/>
          <a:p>
            <a:pPr marL="0" marR="0" indent="0" algn="l" defTabSz="457200" rtl="0" fontAlgn="auto" latinLnBrk="0" hangingPunct="0">
              <a:lnSpc>
                <a:spcPct val="100000"/>
              </a:lnSpc>
              <a:spcBef>
                <a:spcPts val="0"/>
              </a:spcBef>
              <a:spcAft>
                <a:spcPts val="0"/>
              </a:spcAft>
              <a:buClrTx/>
              <a:buSzTx/>
              <a:buFontTx/>
              <a:buNone/>
              <a:tabLst/>
            </a:pPr>
            <a:r>
              <a:rPr kumimoji="0" lang="en-US" sz="1000" b="0" i="0" u="none" strike="noStrike" cap="none" spc="0" normalizeH="0" baseline="0">
                <a:ln>
                  <a:noFill/>
                </a:ln>
                <a:solidFill>
                  <a:srgbClr val="000000"/>
                </a:solidFill>
                <a:effectLst/>
                <a:uFillTx/>
                <a:latin typeface="Avenir Next" charset="0"/>
                <a:ea typeface="Avenir Next" charset="0"/>
                <a:cs typeface="Avenir Next" charset="0"/>
                <a:sym typeface="Helvetica"/>
              </a:rPr>
              <a:t>2016 American Hop Convention-Small Grower Accounting Update. Craig Anderson, CPA. Moss-Adams LLP. pg 2/2</a:t>
            </a:r>
          </a:p>
        </xdr:txBody>
      </xdr:sp>
    </xdr:grp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3d/>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0"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4" Type="http://schemas.openxmlformats.org/officeDocument/2006/relationships/vmlDrawing" Target="../drawings/vmlDrawing4.vml"/><Relationship Id="rId1" Type="http://schemas.openxmlformats.org/officeDocument/2006/relationships/hyperlink" Target="http://www.usahops.org/userfiles/image/1455778816_Moss%20Adams%20Small%20Grower%20Track.pdf" TargetMode="External"/><Relationship Id="rId2" Type="http://schemas.openxmlformats.org/officeDocument/2006/relationships/hyperlink" Target="http://www.usahops.org/userfiles/image/1455778816_Moss%20Adams%20Small%20Grower%20Trac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zoomScale="93" zoomScaleNormal="93" zoomScalePageLayoutView="93" workbookViewId="0">
      <selection activeCell="A22" sqref="A22:A23"/>
    </sheetView>
  </sheetViews>
  <sheetFormatPr baseColWidth="10" defaultRowHeight="13" x14ac:dyDescent="0.15"/>
  <cols>
    <col min="1" max="1" width="190.6640625" customWidth="1"/>
  </cols>
  <sheetData>
    <row r="1" spans="1:7" ht="39" customHeight="1" thickBot="1" x14ac:dyDescent="0.2">
      <c r="A1" s="249" t="s">
        <v>249</v>
      </c>
    </row>
    <row r="2" spans="1:7" ht="26" customHeight="1" thickBot="1" x14ac:dyDescent="0.2">
      <c r="A2" s="250" t="s">
        <v>251</v>
      </c>
    </row>
    <row r="3" spans="1:7" ht="30" customHeight="1" x14ac:dyDescent="0.15">
      <c r="A3" s="251" t="s">
        <v>199</v>
      </c>
    </row>
    <row r="4" spans="1:7" ht="17" x14ac:dyDescent="0.15">
      <c r="A4" s="240" t="s">
        <v>200</v>
      </c>
    </row>
    <row r="5" spans="1:7" ht="17" x14ac:dyDescent="0.15">
      <c r="A5" s="240" t="s">
        <v>201</v>
      </c>
    </row>
    <row r="6" spans="1:7" ht="17" x14ac:dyDescent="0.15">
      <c r="A6" s="240" t="s">
        <v>202</v>
      </c>
    </row>
    <row r="7" spans="1:7" ht="34" x14ac:dyDescent="0.15">
      <c r="A7" s="240" t="s">
        <v>225</v>
      </c>
    </row>
    <row r="8" spans="1:7" ht="20" customHeight="1" x14ac:dyDescent="0.15">
      <c r="A8" s="240" t="s">
        <v>226</v>
      </c>
    </row>
    <row r="9" spans="1:7" ht="21" customHeight="1" x14ac:dyDescent="0.15">
      <c r="A9" s="240" t="s">
        <v>227</v>
      </c>
    </row>
    <row r="10" spans="1:7" ht="18" customHeight="1" x14ac:dyDescent="0.15"/>
    <row r="11" spans="1:7" ht="20" x14ac:dyDescent="0.15">
      <c r="A11" s="241" t="s">
        <v>203</v>
      </c>
      <c r="B11" s="240"/>
      <c r="C11" s="240"/>
      <c r="D11" s="240"/>
      <c r="E11" s="240"/>
      <c r="F11" s="240"/>
      <c r="G11" s="240"/>
    </row>
    <row r="12" spans="1:7" ht="17" x14ac:dyDescent="0.15">
      <c r="A12" s="242"/>
      <c r="B12" s="240"/>
      <c r="C12" s="240"/>
      <c r="D12" s="240"/>
      <c r="E12" s="240"/>
      <c r="F12" s="240"/>
      <c r="G12" s="240"/>
    </row>
    <row r="13" spans="1:7" ht="17" x14ac:dyDescent="0.15">
      <c r="A13" s="242" t="s">
        <v>204</v>
      </c>
      <c r="B13" s="240"/>
      <c r="C13" s="240"/>
      <c r="D13" s="240"/>
      <c r="E13" s="240"/>
      <c r="F13" s="240"/>
      <c r="G13" s="240"/>
    </row>
    <row r="14" spans="1:7" ht="17" x14ac:dyDescent="0.15">
      <c r="A14" s="243" t="s">
        <v>222</v>
      </c>
      <c r="B14" s="236"/>
      <c r="C14" s="236"/>
      <c r="D14" s="236"/>
      <c r="E14" s="236"/>
      <c r="F14" s="236"/>
      <c r="G14" s="236"/>
    </row>
    <row r="15" spans="1:7" ht="17" x14ac:dyDescent="0.15">
      <c r="A15" s="389" t="s">
        <v>205</v>
      </c>
      <c r="B15" s="389"/>
      <c r="C15" s="389"/>
      <c r="D15" s="389"/>
      <c r="E15" s="389"/>
      <c r="F15" s="389"/>
      <c r="G15" s="389"/>
    </row>
    <row r="16" spans="1:7" ht="17" x14ac:dyDescent="0.15">
      <c r="A16" s="236" t="s">
        <v>206</v>
      </c>
      <c r="B16" s="236"/>
      <c r="C16" s="236"/>
      <c r="D16" s="236"/>
      <c r="E16" s="236"/>
      <c r="F16" s="236"/>
      <c r="G16" s="236"/>
    </row>
    <row r="17" spans="1:7" ht="17" x14ac:dyDescent="0.15">
      <c r="A17" s="236"/>
      <c r="B17" s="236"/>
      <c r="C17" s="236"/>
      <c r="D17" s="236"/>
      <c r="E17" s="236"/>
      <c r="F17" s="236"/>
      <c r="G17" s="236"/>
    </row>
    <row r="18" spans="1:7" ht="17" x14ac:dyDescent="0.15">
      <c r="A18" s="244" t="s">
        <v>207</v>
      </c>
      <c r="B18" s="236"/>
      <c r="C18" s="236"/>
      <c r="D18" s="236"/>
      <c r="E18" s="236"/>
      <c r="F18" s="236"/>
      <c r="G18" s="236"/>
    </row>
    <row r="19" spans="1:7" ht="17" x14ac:dyDescent="0.15">
      <c r="A19" s="236" t="s">
        <v>223</v>
      </c>
      <c r="B19" s="236"/>
      <c r="C19" s="236"/>
      <c r="D19" s="236"/>
      <c r="E19" s="236"/>
      <c r="F19" s="236"/>
      <c r="G19" s="236"/>
    </row>
    <row r="20" spans="1:7" ht="17" x14ac:dyDescent="0.15">
      <c r="A20" s="236"/>
      <c r="B20" s="236"/>
      <c r="C20" s="236"/>
      <c r="D20" s="236"/>
      <c r="E20" s="236"/>
      <c r="F20" s="236"/>
      <c r="G20" s="236"/>
    </row>
    <row r="21" spans="1:7" ht="17" x14ac:dyDescent="0.15">
      <c r="A21" s="244" t="s">
        <v>208</v>
      </c>
      <c r="B21" s="236"/>
      <c r="C21" s="236"/>
      <c r="D21" s="236"/>
      <c r="E21" s="236"/>
      <c r="F21" s="236"/>
      <c r="G21" s="236"/>
    </row>
    <row r="22" spans="1:7" ht="17" x14ac:dyDescent="0.15">
      <c r="A22" s="385" t="s">
        <v>252</v>
      </c>
      <c r="B22" s="385"/>
      <c r="C22" s="385"/>
      <c r="D22" s="385"/>
      <c r="E22" s="385"/>
      <c r="F22" s="385"/>
      <c r="G22" s="385"/>
    </row>
    <row r="23" spans="1:7" ht="17" x14ac:dyDescent="0.15">
      <c r="A23" s="385" t="s">
        <v>215</v>
      </c>
      <c r="B23" s="385"/>
      <c r="C23" s="385"/>
      <c r="D23" s="385"/>
      <c r="E23" s="385"/>
      <c r="F23" s="385"/>
      <c r="G23" s="385"/>
    </row>
    <row r="24" spans="1:7" ht="17" x14ac:dyDescent="0.15">
      <c r="A24" s="236" t="s">
        <v>209</v>
      </c>
      <c r="B24" s="236"/>
      <c r="C24" s="236"/>
      <c r="D24" s="236"/>
      <c r="E24" s="236"/>
      <c r="F24" s="236"/>
      <c r="G24" s="236"/>
    </row>
    <row r="25" spans="1:7" ht="17" x14ac:dyDescent="0.15">
      <c r="A25" s="389" t="s">
        <v>210</v>
      </c>
      <c r="B25" s="389"/>
      <c r="C25" s="389"/>
      <c r="D25" s="389"/>
      <c r="E25" s="389"/>
      <c r="F25" s="389"/>
      <c r="G25" s="389"/>
    </row>
    <row r="26" spans="1:7" ht="17" x14ac:dyDescent="0.15">
      <c r="A26" s="236" t="s">
        <v>211</v>
      </c>
      <c r="B26" s="236"/>
      <c r="C26" s="236"/>
      <c r="D26" s="236"/>
      <c r="E26" s="236"/>
      <c r="F26" s="236"/>
      <c r="G26" s="236"/>
    </row>
    <row r="27" spans="1:7" ht="17" x14ac:dyDescent="0.15">
      <c r="A27" s="389" t="s">
        <v>212</v>
      </c>
      <c r="B27" s="389"/>
      <c r="C27" s="389"/>
      <c r="D27" s="389"/>
      <c r="E27" s="389"/>
      <c r="F27" s="389"/>
      <c r="G27" s="389"/>
    </row>
    <row r="28" spans="1:7" ht="17" x14ac:dyDescent="0.15">
      <c r="A28" s="236" t="s">
        <v>228</v>
      </c>
      <c r="B28" s="236"/>
      <c r="C28" s="236"/>
      <c r="D28" s="236"/>
      <c r="E28" s="236"/>
      <c r="F28" s="236"/>
      <c r="G28" s="236"/>
    </row>
    <row r="29" spans="1:7" ht="17" x14ac:dyDescent="0.15">
      <c r="A29" s="389" t="s">
        <v>224</v>
      </c>
      <c r="B29" s="389"/>
      <c r="C29" s="389"/>
      <c r="D29" s="389"/>
      <c r="E29" s="389"/>
      <c r="F29" s="389"/>
      <c r="G29" s="389"/>
    </row>
    <row r="30" spans="1:7" ht="17" x14ac:dyDescent="0.15">
      <c r="A30" s="236" t="s">
        <v>213</v>
      </c>
      <c r="B30" s="236"/>
      <c r="C30" s="236"/>
      <c r="D30" s="236"/>
      <c r="E30" s="236"/>
      <c r="F30" s="236"/>
      <c r="G30" s="236"/>
    </row>
    <row r="31" spans="1:7" ht="17" x14ac:dyDescent="0.15">
      <c r="A31" s="389" t="s">
        <v>214</v>
      </c>
      <c r="B31" s="389"/>
      <c r="C31" s="389"/>
      <c r="D31" s="389"/>
      <c r="E31" s="389"/>
      <c r="F31" s="389"/>
      <c r="G31" s="389"/>
    </row>
    <row r="32" spans="1:7" ht="17" x14ac:dyDescent="0.15">
      <c r="A32" s="236" t="s">
        <v>216</v>
      </c>
      <c r="B32" s="236"/>
      <c r="C32" s="236"/>
      <c r="D32" s="236"/>
      <c r="E32" s="236"/>
      <c r="F32" s="236"/>
      <c r="G32" s="236"/>
    </row>
    <row r="33" spans="1:7" ht="17" x14ac:dyDescent="0.15">
      <c r="A33" s="389" t="s">
        <v>217</v>
      </c>
      <c r="B33" s="389"/>
      <c r="C33" s="389"/>
      <c r="D33" s="389"/>
      <c r="E33" s="389"/>
      <c r="F33" s="389"/>
      <c r="G33" s="389"/>
    </row>
    <row r="34" spans="1:7" ht="17" x14ac:dyDescent="0.15">
      <c r="A34" s="236" t="s">
        <v>218</v>
      </c>
      <c r="B34" s="236"/>
      <c r="C34" s="236"/>
      <c r="D34" s="236"/>
      <c r="E34" s="236"/>
      <c r="F34" s="236"/>
      <c r="G34" s="236"/>
    </row>
    <row r="35" spans="1:7" ht="17" x14ac:dyDescent="0.15">
      <c r="A35" s="245" t="s">
        <v>219</v>
      </c>
      <c r="B35" s="240"/>
      <c r="C35" s="240"/>
      <c r="D35" s="240"/>
      <c r="E35" s="240"/>
      <c r="F35" s="240"/>
      <c r="G35" s="240"/>
    </row>
    <row r="36" spans="1:7" ht="17" x14ac:dyDescent="0.15">
      <c r="A36" s="240" t="s">
        <v>173</v>
      </c>
      <c r="B36" s="240"/>
      <c r="C36" s="240"/>
      <c r="D36" s="240"/>
      <c r="E36" s="240"/>
      <c r="F36" s="240"/>
      <c r="G36" s="240"/>
    </row>
    <row r="37" spans="1:7" ht="17" x14ac:dyDescent="0.15">
      <c r="A37" s="240" t="s">
        <v>220</v>
      </c>
      <c r="B37" s="240"/>
      <c r="C37" s="240"/>
      <c r="D37" s="240"/>
      <c r="E37" s="240"/>
      <c r="F37" s="240"/>
      <c r="G37" s="240"/>
    </row>
    <row r="38" spans="1:7" ht="17" x14ac:dyDescent="0.15">
      <c r="A38" s="240" t="s">
        <v>221</v>
      </c>
      <c r="B38" s="240"/>
      <c r="C38" s="240"/>
      <c r="D38" s="240"/>
      <c r="E38" s="240"/>
      <c r="F38" s="240"/>
      <c r="G38" s="240"/>
    </row>
    <row r="39" spans="1:7" ht="17" x14ac:dyDescent="0.15">
      <c r="A39" s="240" t="s">
        <v>245</v>
      </c>
    </row>
    <row r="41" spans="1:7" x14ac:dyDescent="0.15">
      <c r="A41" s="384" t="s">
        <v>250</v>
      </c>
    </row>
  </sheetData>
  <mergeCells count="6">
    <mergeCell ref="A15:G15"/>
    <mergeCell ref="A33:G33"/>
    <mergeCell ref="A25:G25"/>
    <mergeCell ref="A27:G27"/>
    <mergeCell ref="A29:G29"/>
    <mergeCell ref="A31:G31"/>
  </mergeCells>
  <phoneticPr fontId="1" type="noConversion"/>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87"/>
  <sheetViews>
    <sheetView showGridLines="0" topLeftCell="A45" zoomScale="94" zoomScaleNormal="94" zoomScalePageLayoutView="94" workbookViewId="0">
      <selection activeCell="B56" sqref="B56"/>
    </sheetView>
  </sheetViews>
  <sheetFormatPr baseColWidth="10" defaultColWidth="16.33203125" defaultRowHeight="18" customHeight="1" x14ac:dyDescent="0.15"/>
  <cols>
    <col min="1" max="1" width="59.83203125" style="1" customWidth="1"/>
    <col min="2" max="2" width="19.83203125" style="1" customWidth="1"/>
    <col min="3" max="4" width="17.5" style="1" customWidth="1"/>
    <col min="5" max="6" width="17.1640625" style="1" customWidth="1"/>
    <col min="7" max="7" width="22.83203125" style="1" customWidth="1"/>
    <col min="8" max="256" width="16.33203125" style="1" customWidth="1"/>
    <col min="257" max="16384" width="16.33203125" style="2"/>
  </cols>
  <sheetData>
    <row r="1" spans="1:7" ht="28" customHeight="1" thickBot="1" x14ac:dyDescent="0.2">
      <c r="A1" s="392" t="s">
        <v>197</v>
      </c>
      <c r="B1" s="392"/>
      <c r="C1" s="392"/>
      <c r="D1" s="392"/>
      <c r="E1" s="392"/>
      <c r="F1" s="392"/>
      <c r="G1" s="392"/>
    </row>
    <row r="2" spans="1:7" ht="28" customHeight="1" thickBot="1" x14ac:dyDescent="0.2">
      <c r="A2" s="394" t="s">
        <v>196</v>
      </c>
      <c r="B2" s="394"/>
      <c r="C2" s="394"/>
      <c r="D2" s="394"/>
      <c r="E2" s="394"/>
      <c r="F2" s="394"/>
      <c r="G2" s="394"/>
    </row>
    <row r="3" spans="1:7" ht="51" customHeight="1" thickBot="1" x14ac:dyDescent="0.2">
      <c r="A3" s="393" t="s">
        <v>102</v>
      </c>
      <c r="B3" s="393"/>
      <c r="C3" s="393"/>
      <c r="D3" s="393"/>
      <c r="E3" s="393"/>
      <c r="F3" s="393"/>
      <c r="G3" s="393"/>
    </row>
    <row r="4" spans="1:7" ht="33" customHeight="1" x14ac:dyDescent="0.15">
      <c r="A4" s="97" t="s">
        <v>0</v>
      </c>
      <c r="B4" s="43" t="s">
        <v>80</v>
      </c>
      <c r="C4" s="43" t="s">
        <v>81</v>
      </c>
      <c r="D4" s="43" t="s">
        <v>82</v>
      </c>
      <c r="E4" s="43" t="s">
        <v>83</v>
      </c>
      <c r="F4" s="290" t="s">
        <v>84</v>
      </c>
      <c r="G4" s="297"/>
    </row>
    <row r="5" spans="1:7" ht="29" customHeight="1" x14ac:dyDescent="0.15">
      <c r="A5" s="86" t="s">
        <v>68</v>
      </c>
      <c r="B5" s="31"/>
      <c r="C5" s="22"/>
      <c r="D5" s="22"/>
      <c r="E5" s="22"/>
      <c r="F5" s="254"/>
      <c r="G5" s="276"/>
    </row>
    <row r="6" spans="1:7" ht="24" customHeight="1" x14ac:dyDescent="0.15">
      <c r="A6" s="89" t="s">
        <v>86</v>
      </c>
      <c r="B6" s="219">
        <f>1500*0</f>
        <v>0</v>
      </c>
      <c r="C6" s="220">
        <v>1100</v>
      </c>
      <c r="D6" s="220">
        <v>1500</v>
      </c>
      <c r="E6" s="220">
        <v>1600</v>
      </c>
      <c r="F6" s="255">
        <v>1800</v>
      </c>
      <c r="G6" s="277"/>
    </row>
    <row r="7" spans="1:7" ht="25" customHeight="1" x14ac:dyDescent="0.15">
      <c r="A7" s="89" t="s">
        <v>88</v>
      </c>
      <c r="B7" s="219">
        <v>10</v>
      </c>
      <c r="C7" s="220">
        <v>10</v>
      </c>
      <c r="D7" s="220">
        <v>10</v>
      </c>
      <c r="E7" s="220">
        <v>10</v>
      </c>
      <c r="F7" s="255">
        <v>10</v>
      </c>
      <c r="G7" s="277"/>
    </row>
    <row r="8" spans="1:7" ht="24" customHeight="1" x14ac:dyDescent="0.15">
      <c r="A8" s="98" t="s">
        <v>87</v>
      </c>
      <c r="B8" s="197">
        <v>10</v>
      </c>
      <c r="C8" s="193">
        <v>10</v>
      </c>
      <c r="D8" s="193">
        <v>10</v>
      </c>
      <c r="E8" s="193">
        <v>10</v>
      </c>
      <c r="F8" s="271">
        <v>10</v>
      </c>
      <c r="G8" s="278"/>
    </row>
    <row r="9" spans="1:7" ht="24" customHeight="1" thickBot="1" x14ac:dyDescent="0.2">
      <c r="A9" s="92" t="s">
        <v>69</v>
      </c>
      <c r="B9" s="198">
        <f>(1500*0)*5*12</f>
        <v>0</v>
      </c>
      <c r="C9" s="198">
        <f>C6*C7*C8</f>
        <v>110000</v>
      </c>
      <c r="D9" s="198">
        <f t="shared" ref="D9:F9" si="0">D6*D7*D8</f>
        <v>150000</v>
      </c>
      <c r="E9" s="198">
        <f t="shared" si="0"/>
        <v>160000</v>
      </c>
      <c r="F9" s="257">
        <f t="shared" si="0"/>
        <v>180000</v>
      </c>
      <c r="G9" s="302">
        <f>SUM(B9:F9)</f>
        <v>600000</v>
      </c>
    </row>
    <row r="10" spans="1:7" ht="21" customHeight="1" x14ac:dyDescent="0.15">
      <c r="A10" s="99"/>
      <c r="B10" s="199"/>
      <c r="C10" s="199"/>
      <c r="D10" s="199"/>
      <c r="E10" s="199"/>
      <c r="F10" s="199"/>
      <c r="G10" s="278"/>
    </row>
    <row r="11" spans="1:7" ht="29" customHeight="1" x14ac:dyDescent="0.15">
      <c r="A11" s="86" t="s">
        <v>1</v>
      </c>
      <c r="B11" s="195"/>
      <c r="C11" s="179"/>
      <c r="D11" s="179"/>
      <c r="E11" s="179"/>
      <c r="F11" s="258"/>
      <c r="G11" s="278"/>
    </row>
    <row r="12" spans="1:7" ht="21" customHeight="1" x14ac:dyDescent="0.15">
      <c r="A12" s="8" t="s">
        <v>63</v>
      </c>
      <c r="B12" s="195"/>
      <c r="C12" s="179"/>
      <c r="D12" s="179"/>
      <c r="E12" s="179"/>
      <c r="F12" s="258"/>
      <c r="G12" s="278"/>
    </row>
    <row r="13" spans="1:7" ht="25" customHeight="1" x14ac:dyDescent="0.15">
      <c r="A13" s="85" t="s">
        <v>72</v>
      </c>
      <c r="B13" s="195">
        <f>'App. A -Bld Out Infrastructure'!D47*'Cash Flow-growing only'!B7</f>
        <v>130291.94399999999</v>
      </c>
      <c r="C13" s="179"/>
      <c r="D13" s="179"/>
      <c r="E13" s="179"/>
      <c r="F13" s="258"/>
      <c r="G13" s="278"/>
    </row>
    <row r="14" spans="1:7" ht="24.25" customHeight="1" x14ac:dyDescent="0.15">
      <c r="A14" s="85" t="s">
        <v>64</v>
      </c>
      <c r="B14" s="195">
        <f>'App. B -Buildout Labor'!F21*'Cash Flow-growing only'!B7</f>
        <v>49760</v>
      </c>
      <c r="C14" s="179"/>
      <c r="D14" s="179"/>
      <c r="E14" s="179"/>
      <c r="F14" s="258"/>
      <c r="G14" s="278"/>
    </row>
    <row r="15" spans="1:7" ht="28" customHeight="1" x14ac:dyDescent="0.15">
      <c r="A15" s="164" t="s">
        <v>79</v>
      </c>
      <c r="B15" s="200">
        <f>SUM('App. C-Equipment'!D4:D9)</f>
        <v>46000</v>
      </c>
      <c r="C15" s="201"/>
      <c r="D15" s="201"/>
      <c r="E15" s="201"/>
      <c r="F15" s="291"/>
      <c r="G15" s="298"/>
    </row>
    <row r="16" spans="1:7" ht="21.25" customHeight="1" x14ac:dyDescent="0.15">
      <c r="A16" s="163" t="s">
        <v>253</v>
      </c>
      <c r="B16" s="202">
        <f>SUM(B13:B15)</f>
        <v>226051.94399999999</v>
      </c>
      <c r="C16" s="203">
        <f>SUM(C13:C14)</f>
        <v>0</v>
      </c>
      <c r="D16" s="203">
        <f>SUM(D13:D14)</f>
        <v>0</v>
      </c>
      <c r="E16" s="203">
        <f>SUM(E13:E14)</f>
        <v>0</v>
      </c>
      <c r="F16" s="292">
        <f>SUM(F13:F14)</f>
        <v>0</v>
      </c>
      <c r="G16" s="299"/>
    </row>
    <row r="17" spans="1:7" ht="21.25" customHeight="1" x14ac:dyDescent="0.15">
      <c r="A17" s="87"/>
      <c r="B17" s="204"/>
      <c r="C17" s="205"/>
      <c r="D17" s="205"/>
      <c r="E17" s="205"/>
      <c r="F17" s="261"/>
      <c r="G17" s="278"/>
    </row>
    <row r="18" spans="1:7" ht="21.25" customHeight="1" x14ac:dyDescent="0.15">
      <c r="A18" s="8" t="s">
        <v>159</v>
      </c>
      <c r="B18" s="195"/>
      <c r="C18" s="206"/>
      <c r="D18" s="206"/>
      <c r="E18" s="206"/>
      <c r="F18" s="259"/>
      <c r="G18" s="279"/>
    </row>
    <row r="19" spans="1:7" ht="21.25" customHeight="1" x14ac:dyDescent="0.15">
      <c r="A19" s="85" t="s">
        <v>155</v>
      </c>
      <c r="B19" s="171"/>
      <c r="C19" s="172">
        <f t="shared" ref="C19:F19" si="1">1920*0.17*C7</f>
        <v>3264.0000000000005</v>
      </c>
      <c r="D19" s="172">
        <f t="shared" si="1"/>
        <v>3264.0000000000005</v>
      </c>
      <c r="E19" s="172">
        <f t="shared" si="1"/>
        <v>3264.0000000000005</v>
      </c>
      <c r="F19" s="262">
        <f t="shared" si="1"/>
        <v>3264.0000000000005</v>
      </c>
      <c r="G19" s="281"/>
    </row>
    <row r="20" spans="1:7" ht="21.25" customHeight="1" x14ac:dyDescent="0.15">
      <c r="A20" s="85" t="s">
        <v>230</v>
      </c>
      <c r="B20" s="171"/>
      <c r="C20" s="173">
        <f t="shared" ref="C20:F20" si="2">340*C7</f>
        <v>3400</v>
      </c>
      <c r="D20" s="173">
        <f t="shared" si="2"/>
        <v>3400</v>
      </c>
      <c r="E20" s="173">
        <f t="shared" si="2"/>
        <v>3400</v>
      </c>
      <c r="F20" s="263">
        <f t="shared" si="2"/>
        <v>3400</v>
      </c>
      <c r="G20" s="282"/>
    </row>
    <row r="21" spans="1:7" ht="21.25" customHeight="1" x14ac:dyDescent="0.15">
      <c r="A21" s="85" t="s">
        <v>184</v>
      </c>
      <c r="B21" s="171"/>
      <c r="C21" s="174">
        <f>150*C7</f>
        <v>1500</v>
      </c>
      <c r="D21" s="174">
        <f>150*D7</f>
        <v>1500</v>
      </c>
      <c r="E21" s="174">
        <f t="shared" ref="E21" si="3">150*E7</f>
        <v>1500</v>
      </c>
      <c r="F21" s="264">
        <f>150*F7</f>
        <v>1500</v>
      </c>
      <c r="G21" s="283"/>
    </row>
    <row r="22" spans="1:7" ht="21.25" customHeight="1" x14ac:dyDescent="0.15">
      <c r="A22" s="85" t="s">
        <v>127</v>
      </c>
      <c r="B22" s="171">
        <f>400*B7</f>
        <v>4000</v>
      </c>
      <c r="C22" s="174">
        <f>650*C7</f>
        <v>6500</v>
      </c>
      <c r="D22" s="174">
        <f t="shared" ref="D22:F22" si="4">650*D7</f>
        <v>6500</v>
      </c>
      <c r="E22" s="174">
        <f t="shared" si="4"/>
        <v>6500</v>
      </c>
      <c r="F22" s="264">
        <f t="shared" si="4"/>
        <v>6500</v>
      </c>
      <c r="G22" s="284"/>
    </row>
    <row r="23" spans="1:7" ht="21.25" customHeight="1" x14ac:dyDescent="0.15">
      <c r="A23" s="85" t="s">
        <v>129</v>
      </c>
      <c r="B23" s="171">
        <f>500*B7</f>
        <v>5000</v>
      </c>
      <c r="C23" s="174">
        <f>750*C7</f>
        <v>7500</v>
      </c>
      <c r="D23" s="174">
        <f t="shared" ref="D23:F23" si="5">750*D7</f>
        <v>7500</v>
      </c>
      <c r="E23" s="174">
        <f t="shared" si="5"/>
        <v>7500</v>
      </c>
      <c r="F23" s="264">
        <f t="shared" si="5"/>
        <v>7500</v>
      </c>
      <c r="G23" s="284"/>
    </row>
    <row r="24" spans="1:7" ht="21.25" customHeight="1" x14ac:dyDescent="0.15">
      <c r="A24" s="85" t="s">
        <v>183</v>
      </c>
      <c r="B24" s="171">
        <f>30*0.3*12*B7</f>
        <v>1080</v>
      </c>
      <c r="C24" s="174">
        <f>30*0.3*20*C7</f>
        <v>1800</v>
      </c>
      <c r="D24" s="174">
        <f t="shared" ref="D24:F24" si="6">30*0.3*20*D7</f>
        <v>1800</v>
      </c>
      <c r="E24" s="174">
        <f t="shared" si="6"/>
        <v>1800</v>
      </c>
      <c r="F24" s="264">
        <f t="shared" si="6"/>
        <v>1800</v>
      </c>
      <c r="G24" s="284"/>
    </row>
    <row r="25" spans="1:7" ht="21" customHeight="1" x14ac:dyDescent="0.15">
      <c r="A25" s="85" t="s">
        <v>174</v>
      </c>
      <c r="B25" s="171"/>
      <c r="C25" s="174">
        <f>800*C7</f>
        <v>8000</v>
      </c>
      <c r="D25" s="174">
        <f t="shared" ref="D25:F25" si="7">800*D7</f>
        <v>8000</v>
      </c>
      <c r="E25" s="174">
        <f t="shared" si="7"/>
        <v>8000</v>
      </c>
      <c r="F25" s="264">
        <f t="shared" si="7"/>
        <v>8000</v>
      </c>
      <c r="G25" s="284"/>
    </row>
    <row r="26" spans="1:7" ht="21" customHeight="1" x14ac:dyDescent="0.15">
      <c r="A26" s="85" t="s">
        <v>182</v>
      </c>
      <c r="B26" s="171">
        <f>128*B7*2</f>
        <v>2560</v>
      </c>
      <c r="C26" s="174">
        <f t="shared" ref="C26:F26" si="8">128*C7*2</f>
        <v>2560</v>
      </c>
      <c r="D26" s="174">
        <f t="shared" si="8"/>
        <v>2560</v>
      </c>
      <c r="E26" s="174">
        <f t="shared" si="8"/>
        <v>2560</v>
      </c>
      <c r="F26" s="264">
        <f t="shared" si="8"/>
        <v>2560</v>
      </c>
      <c r="G26" s="284"/>
    </row>
    <row r="27" spans="1:7" ht="21.25" customHeight="1" x14ac:dyDescent="0.15">
      <c r="A27" s="85" t="s">
        <v>128</v>
      </c>
      <c r="B27" s="171">
        <f>150*B7</f>
        <v>1500</v>
      </c>
      <c r="C27" s="174">
        <f t="shared" ref="C27:F27" si="9">150*C7</f>
        <v>1500</v>
      </c>
      <c r="D27" s="174">
        <f t="shared" si="9"/>
        <v>1500</v>
      </c>
      <c r="E27" s="174">
        <f t="shared" si="9"/>
        <v>1500</v>
      </c>
      <c r="F27" s="264">
        <f t="shared" si="9"/>
        <v>1500</v>
      </c>
      <c r="G27" s="284"/>
    </row>
    <row r="28" spans="1:7" ht="21.25" customHeight="1" x14ac:dyDescent="0.15">
      <c r="A28" s="164" t="s">
        <v>130</v>
      </c>
      <c r="B28" s="175">
        <f>200*B7</f>
        <v>2000</v>
      </c>
      <c r="C28" s="176">
        <f t="shared" ref="C28:F28" si="10">400*C7</f>
        <v>4000</v>
      </c>
      <c r="D28" s="176">
        <f t="shared" si="10"/>
        <v>4000</v>
      </c>
      <c r="E28" s="176">
        <f t="shared" si="10"/>
        <v>4000</v>
      </c>
      <c r="F28" s="265">
        <f t="shared" si="10"/>
        <v>4000</v>
      </c>
      <c r="G28" s="285"/>
    </row>
    <row r="29" spans="1:7" ht="21.25" customHeight="1" x14ac:dyDescent="0.15">
      <c r="A29" s="163" t="s">
        <v>164</v>
      </c>
      <c r="B29" s="202">
        <f>SUM(B19:B28)</f>
        <v>16140</v>
      </c>
      <c r="C29" s="184">
        <f t="shared" ref="C29:F29" si="11">SUM(C19:C28)</f>
        <v>40024</v>
      </c>
      <c r="D29" s="184">
        <f t="shared" si="11"/>
        <v>40024</v>
      </c>
      <c r="E29" s="184">
        <f t="shared" si="11"/>
        <v>40024</v>
      </c>
      <c r="F29" s="268">
        <f t="shared" si="11"/>
        <v>40024</v>
      </c>
      <c r="G29" s="303">
        <f>SUM(B29:F29)</f>
        <v>176236</v>
      </c>
    </row>
    <row r="30" spans="1:7" ht="21.25" customHeight="1" x14ac:dyDescent="0.15">
      <c r="A30" s="85"/>
      <c r="B30" s="178"/>
      <c r="C30" s="179"/>
      <c r="D30" s="179"/>
      <c r="E30" s="179"/>
      <c r="F30" s="258"/>
      <c r="G30" s="278"/>
    </row>
    <row r="31" spans="1:7" ht="21.25" customHeight="1" x14ac:dyDescent="0.15">
      <c r="A31" s="8" t="s">
        <v>160</v>
      </c>
      <c r="B31" s="178"/>
      <c r="C31" s="179"/>
      <c r="D31" s="179"/>
      <c r="E31" s="179"/>
      <c r="F31" s="258"/>
      <c r="G31" s="278"/>
    </row>
    <row r="32" spans="1:7" ht="21.25" customHeight="1" x14ac:dyDescent="0.15">
      <c r="A32" s="85" t="s">
        <v>158</v>
      </c>
      <c r="B32" s="180"/>
      <c r="C32" s="179">
        <f>400*C7</f>
        <v>4000</v>
      </c>
      <c r="D32" s="179">
        <f>450*D7</f>
        <v>4500</v>
      </c>
      <c r="E32" s="179">
        <f>475*E7</f>
        <v>4750</v>
      </c>
      <c r="F32" s="258">
        <f>500*F7</f>
        <v>5000</v>
      </c>
      <c r="G32" s="278">
        <f t="shared" ref="G32:G37" si="12">SUM(B32:F32)</f>
        <v>18250</v>
      </c>
    </row>
    <row r="33" spans="1:7" ht="21.25" customHeight="1" x14ac:dyDescent="0.15">
      <c r="A33" s="85" t="s">
        <v>119</v>
      </c>
      <c r="B33" s="178"/>
      <c r="C33" s="179">
        <f>C6*C7*3</f>
        <v>33000</v>
      </c>
      <c r="D33" s="179">
        <f>D6*D7*3</f>
        <v>45000</v>
      </c>
      <c r="E33" s="179">
        <f>E6*E7*3</f>
        <v>48000</v>
      </c>
      <c r="F33" s="258">
        <f>F6*F7*3</f>
        <v>54000</v>
      </c>
      <c r="G33" s="278">
        <f t="shared" si="12"/>
        <v>180000</v>
      </c>
    </row>
    <row r="34" spans="1:7" ht="21.25" customHeight="1" x14ac:dyDescent="0.15">
      <c r="A34" s="85" t="s">
        <v>118</v>
      </c>
      <c r="B34" s="180"/>
      <c r="C34" s="179">
        <f>C6*C7*1.5</f>
        <v>16500</v>
      </c>
      <c r="D34" s="179">
        <f>D6*D7*1.5</f>
        <v>22500</v>
      </c>
      <c r="E34" s="179">
        <f>E6*E7*1.5</f>
        <v>24000</v>
      </c>
      <c r="F34" s="258">
        <f>F6*F7*1.5</f>
        <v>27000</v>
      </c>
      <c r="G34" s="278">
        <f t="shared" si="12"/>
        <v>90000</v>
      </c>
    </row>
    <row r="35" spans="1:7" ht="21.25" customHeight="1" x14ac:dyDescent="0.15">
      <c r="A35" s="85" t="s">
        <v>66</v>
      </c>
      <c r="B35" s="171"/>
      <c r="C35" s="174">
        <f>10*125</f>
        <v>1250</v>
      </c>
      <c r="D35" s="174">
        <f>10*125</f>
        <v>1250</v>
      </c>
      <c r="E35" s="174">
        <f>10*125</f>
        <v>1250</v>
      </c>
      <c r="F35" s="264">
        <f>10*125</f>
        <v>1250</v>
      </c>
      <c r="G35" s="278">
        <f t="shared" si="12"/>
        <v>5000</v>
      </c>
    </row>
    <row r="36" spans="1:7" ht="21.25" customHeight="1" x14ac:dyDescent="0.15">
      <c r="A36" s="164" t="s">
        <v>101</v>
      </c>
      <c r="B36" s="188"/>
      <c r="C36" s="206">
        <f>0.1*C9</f>
        <v>11000</v>
      </c>
      <c r="D36" s="201">
        <f>0.1*D9</f>
        <v>15000</v>
      </c>
      <c r="E36" s="201">
        <f>0.1*E9</f>
        <v>16000</v>
      </c>
      <c r="F36" s="259">
        <f>0.1*F9</f>
        <v>18000</v>
      </c>
      <c r="G36" s="298">
        <f t="shared" si="12"/>
        <v>60000</v>
      </c>
    </row>
    <row r="37" spans="1:7" ht="22" customHeight="1" x14ac:dyDescent="0.15">
      <c r="A37" s="163" t="s">
        <v>167</v>
      </c>
      <c r="B37" s="207">
        <f>SUM(B33:B36)</f>
        <v>0</v>
      </c>
      <c r="C37" s="208">
        <f>SUM(C32:C36)</f>
        <v>65750</v>
      </c>
      <c r="D37" s="208">
        <f t="shared" ref="D37:F37" si="13">SUM(D32:D36)</f>
        <v>88250</v>
      </c>
      <c r="E37" s="208">
        <f t="shared" si="13"/>
        <v>94000</v>
      </c>
      <c r="F37" s="208">
        <f t="shared" si="13"/>
        <v>105250</v>
      </c>
      <c r="G37" s="303">
        <f t="shared" si="12"/>
        <v>353250</v>
      </c>
    </row>
    <row r="38" spans="1:7" ht="22" customHeight="1" x14ac:dyDescent="0.15">
      <c r="A38" s="162"/>
      <c r="B38" s="178"/>
      <c r="C38" s="205"/>
      <c r="D38" s="205"/>
      <c r="E38" s="205"/>
      <c r="F38" s="261"/>
      <c r="G38" s="299"/>
    </row>
    <row r="39" spans="1:7" ht="22" customHeight="1" x14ac:dyDescent="0.15">
      <c r="A39" s="88" t="s">
        <v>162</v>
      </c>
      <c r="B39" s="178"/>
      <c r="C39" s="179"/>
      <c r="D39" s="179"/>
      <c r="E39" s="179"/>
      <c r="F39" s="258"/>
      <c r="G39" s="278"/>
    </row>
    <row r="40" spans="1:7" ht="21.25" customHeight="1" x14ac:dyDescent="0.15">
      <c r="A40" s="165" t="s">
        <v>99</v>
      </c>
      <c r="B40" s="178">
        <f>'App. D Loan detail'!B9</f>
        <v>53075.590097228684</v>
      </c>
      <c r="C40" s="179">
        <f>'App. D Loan detail'!B9</f>
        <v>53075.590097228684</v>
      </c>
      <c r="D40" s="201">
        <f>'App. D Loan detail'!B9</f>
        <v>53075.590097228684</v>
      </c>
      <c r="E40" s="201">
        <f>'App. D Loan detail'!B9</f>
        <v>53075.590097228684</v>
      </c>
      <c r="F40" s="258">
        <f>'App. D Loan detail'!B9</f>
        <v>53075.590097228684</v>
      </c>
      <c r="G40" s="298">
        <f>SUM(B40:F40)</f>
        <v>265377.95048614341</v>
      </c>
    </row>
    <row r="41" spans="1:7" ht="21.25" customHeight="1" x14ac:dyDescent="0.15">
      <c r="A41" s="163" t="s">
        <v>168</v>
      </c>
      <c r="B41" s="183">
        <f>B40</f>
        <v>53075.590097228684</v>
      </c>
      <c r="C41" s="184">
        <f t="shared" ref="C41:F41" si="14">C40</f>
        <v>53075.590097228684</v>
      </c>
      <c r="D41" s="184">
        <f t="shared" si="14"/>
        <v>53075.590097228684</v>
      </c>
      <c r="E41" s="184">
        <f t="shared" si="14"/>
        <v>53075.590097228684</v>
      </c>
      <c r="F41" s="268">
        <f t="shared" si="14"/>
        <v>53075.590097228684</v>
      </c>
      <c r="G41" s="303">
        <f>SUM(B41:F41)</f>
        <v>265377.95048614341</v>
      </c>
    </row>
    <row r="42" spans="1:7" ht="21.25" customHeight="1" x14ac:dyDescent="0.15">
      <c r="A42" s="166"/>
      <c r="B42" s="188"/>
      <c r="C42" s="206"/>
      <c r="D42" s="206"/>
      <c r="E42" s="206"/>
      <c r="F42" s="259"/>
      <c r="G42" s="278"/>
    </row>
    <row r="43" spans="1:7" ht="21.25" customHeight="1" x14ac:dyDescent="0.15">
      <c r="A43" s="169" t="s">
        <v>2</v>
      </c>
      <c r="B43" s="185">
        <f>B29+B41+B37</f>
        <v>69215.590097228676</v>
      </c>
      <c r="C43" s="209">
        <f>C29+C41+C37</f>
        <v>158849.59009722868</v>
      </c>
      <c r="D43" s="209">
        <f>D29+D41+D37</f>
        <v>181349.59009722868</v>
      </c>
      <c r="E43" s="209">
        <f>E29+E41+E37</f>
        <v>187099.59009722868</v>
      </c>
      <c r="F43" s="293">
        <f>F29+F41+F37</f>
        <v>198349.59009722868</v>
      </c>
      <c r="G43" s="386">
        <f>SUM(B43:F43)</f>
        <v>794863.95048614335</v>
      </c>
    </row>
    <row r="44" spans="1:7" ht="21.25" customHeight="1" x14ac:dyDescent="0.15">
      <c r="A44" s="133" t="s">
        <v>156</v>
      </c>
      <c r="B44" s="186">
        <f>(B29+B37)/B7</f>
        <v>1614</v>
      </c>
      <c r="C44" s="205">
        <f>(C29+C37)/C7</f>
        <v>10577.4</v>
      </c>
      <c r="D44" s="205">
        <f t="shared" ref="D44:F44" si="15">(D29+D37)/D7</f>
        <v>12827.4</v>
      </c>
      <c r="E44" s="205">
        <f t="shared" si="15"/>
        <v>13402.4</v>
      </c>
      <c r="F44" s="261">
        <f t="shared" si="15"/>
        <v>14527.4</v>
      </c>
      <c r="G44" s="387">
        <f>SUM(B44:F44)</f>
        <v>52948.6</v>
      </c>
    </row>
    <row r="45" spans="1:7" ht="21.25" customHeight="1" x14ac:dyDescent="0.15">
      <c r="A45" s="85"/>
      <c r="B45" s="188"/>
      <c r="C45" s="179"/>
      <c r="D45" s="179"/>
      <c r="E45" s="179"/>
      <c r="F45" s="258"/>
      <c r="G45" s="299"/>
    </row>
    <row r="46" spans="1:7" ht="25.25" customHeight="1" x14ac:dyDescent="0.15">
      <c r="A46" s="8" t="s">
        <v>161</v>
      </c>
      <c r="B46" s="188"/>
      <c r="C46" s="206"/>
      <c r="D46" s="206"/>
      <c r="E46" s="210"/>
      <c r="F46" s="294"/>
      <c r="G46" s="278"/>
    </row>
    <row r="47" spans="1:7" ht="21.25" customHeight="1" x14ac:dyDescent="0.15">
      <c r="A47" s="239" t="s">
        <v>116</v>
      </c>
      <c r="B47" s="189">
        <f>80*B7*20</f>
        <v>16000</v>
      </c>
      <c r="C47" s="212">
        <f>40*C7*20</f>
        <v>8000</v>
      </c>
      <c r="D47" s="212">
        <f t="shared" ref="D47:F47" si="16">40*D7*20</f>
        <v>8000</v>
      </c>
      <c r="E47" s="212">
        <f t="shared" si="16"/>
        <v>8000</v>
      </c>
      <c r="F47" s="295">
        <f t="shared" si="16"/>
        <v>8000</v>
      </c>
      <c r="G47" s="288"/>
    </row>
    <row r="48" spans="1:7" ht="22" customHeight="1" x14ac:dyDescent="0.15">
      <c r="A48" s="89" t="s">
        <v>3</v>
      </c>
      <c r="B48" s="211">
        <f>80*B7</f>
        <v>800</v>
      </c>
      <c r="C48" s="193">
        <f>160*5</f>
        <v>800</v>
      </c>
      <c r="D48" s="193">
        <f t="shared" ref="D48:F48" si="17">160*5</f>
        <v>800</v>
      </c>
      <c r="E48" s="193">
        <f t="shared" si="17"/>
        <v>800</v>
      </c>
      <c r="F48" s="271">
        <f t="shared" si="17"/>
        <v>800</v>
      </c>
      <c r="G48" s="279" t="s">
        <v>157</v>
      </c>
    </row>
    <row r="49" spans="1:8" ht="20" customHeight="1" x14ac:dyDescent="0.15">
      <c r="A49" s="122" t="s">
        <v>131</v>
      </c>
      <c r="B49" s="237">
        <f>200*B7</f>
        <v>2000</v>
      </c>
      <c r="C49" s="238">
        <f t="shared" ref="C49:F49" si="18">200*C7</f>
        <v>2000</v>
      </c>
      <c r="D49" s="238">
        <f t="shared" si="18"/>
        <v>2000</v>
      </c>
      <c r="E49" s="238">
        <f t="shared" si="18"/>
        <v>2000</v>
      </c>
      <c r="F49" s="296">
        <f t="shared" si="18"/>
        <v>2000</v>
      </c>
      <c r="G49" s="300"/>
    </row>
    <row r="50" spans="1:8" ht="21.25" customHeight="1" x14ac:dyDescent="0.15">
      <c r="A50" s="121" t="s">
        <v>4</v>
      </c>
      <c r="B50" s="213">
        <f>280*B7</f>
        <v>2800</v>
      </c>
      <c r="C50" s="212">
        <f>280*C7</f>
        <v>2800</v>
      </c>
      <c r="D50" s="212">
        <f>280*D7</f>
        <v>2800</v>
      </c>
      <c r="E50" s="212">
        <f>280*E7</f>
        <v>2800</v>
      </c>
      <c r="F50" s="295">
        <f>280*F7</f>
        <v>2800</v>
      </c>
      <c r="G50" s="300"/>
    </row>
    <row r="51" spans="1:8" ht="21.25" customHeight="1" x14ac:dyDescent="0.15">
      <c r="A51" s="121" t="s">
        <v>149</v>
      </c>
      <c r="B51" s="213">
        <f>'App E. Insurance Detail'!B11*B7</f>
        <v>100</v>
      </c>
      <c r="C51" s="368">
        <f>'App E. Insurance Detail'!C11*C7</f>
        <v>1090</v>
      </c>
      <c r="D51" s="368">
        <f>'App E. Insurance Detail'!D11*D7</f>
        <v>1450</v>
      </c>
      <c r="E51" s="368">
        <f>'App E. Insurance Detail'!E11*E7</f>
        <v>1540</v>
      </c>
      <c r="F51" s="369">
        <f>'App E. Insurance Detail'!F11*F7</f>
        <v>1720</v>
      </c>
      <c r="G51" s="300">
        <f>SUM(B51:F51)</f>
        <v>5900</v>
      </c>
    </row>
    <row r="52" spans="1:8" ht="21.25" customHeight="1" x14ac:dyDescent="0.15">
      <c r="A52" s="373" t="s">
        <v>248</v>
      </c>
      <c r="B52" s="367">
        <f>'App. F - Unanticipated Expenses'!D16</f>
        <v>0</v>
      </c>
      <c r="C52" s="370">
        <f>'App. F - Unanticipated Expenses'!G16</f>
        <v>0</v>
      </c>
      <c r="D52" s="372">
        <f>'App. F - Unanticipated Expenses'!J16</f>
        <v>0</v>
      </c>
      <c r="E52" s="370">
        <f>'App. F - Unanticipated Expenses'!M16</f>
        <v>0</v>
      </c>
      <c r="F52" s="371">
        <f>'App. F - Unanticipated Expenses'!P16</f>
        <v>0</v>
      </c>
      <c r="G52" s="374">
        <f>SUM(B52:F52)</f>
        <v>0</v>
      </c>
      <c r="H52" s="375"/>
    </row>
    <row r="53" spans="1:8" ht="21.25" customHeight="1" x14ac:dyDescent="0.15">
      <c r="A53" s="163" t="s">
        <v>5</v>
      </c>
      <c r="B53" s="202">
        <f>SUM(B47:B52)</f>
        <v>21700</v>
      </c>
      <c r="C53" s="202">
        <f>SUM(C47:C52)</f>
        <v>14690</v>
      </c>
      <c r="D53" s="202">
        <f t="shared" ref="D53:F53" si="19">SUM(D47:D52)</f>
        <v>15050</v>
      </c>
      <c r="E53" s="202">
        <f t="shared" si="19"/>
        <v>15140</v>
      </c>
      <c r="F53" s="202">
        <f t="shared" si="19"/>
        <v>15320</v>
      </c>
      <c r="G53" s="304">
        <f>SUM(B53:F53)</f>
        <v>81900</v>
      </c>
    </row>
    <row r="54" spans="1:8" ht="21.25" customHeight="1" x14ac:dyDescent="0.15">
      <c r="A54" s="91"/>
      <c r="B54" s="214"/>
      <c r="C54" s="206"/>
      <c r="D54" s="206"/>
      <c r="E54" s="206"/>
      <c r="F54" s="259"/>
      <c r="G54" s="278"/>
    </row>
    <row r="55" spans="1:8" ht="21.25" customHeight="1" thickBot="1" x14ac:dyDescent="0.2">
      <c r="A55" s="92" t="s">
        <v>6</v>
      </c>
      <c r="B55" s="196">
        <f>B53+B43</f>
        <v>90915.590097228676</v>
      </c>
      <c r="C55" s="196">
        <f t="shared" ref="C55:F55" si="20">C53+C43</f>
        <v>173539.59009722868</v>
      </c>
      <c r="D55" s="196">
        <f t="shared" si="20"/>
        <v>196399.59009722868</v>
      </c>
      <c r="E55" s="196">
        <f t="shared" si="20"/>
        <v>202239.59009722868</v>
      </c>
      <c r="F55" s="196">
        <f t="shared" si="20"/>
        <v>213669.59009722868</v>
      </c>
      <c r="G55" s="302">
        <f>SUM(B55:F55)</f>
        <v>876763.95048614335</v>
      </c>
    </row>
    <row r="56" spans="1:8" ht="24.25" customHeight="1" x14ac:dyDescent="0.15">
      <c r="A56" s="93"/>
      <c r="B56" s="215"/>
      <c r="C56" s="216"/>
      <c r="D56" s="216"/>
      <c r="E56" s="216"/>
      <c r="F56" s="261"/>
      <c r="G56" s="278"/>
    </row>
    <row r="57" spans="1:8" ht="21.25" customHeight="1" x14ac:dyDescent="0.15">
      <c r="A57" s="94" t="s">
        <v>70</v>
      </c>
      <c r="B57" s="195"/>
      <c r="C57" s="179"/>
      <c r="D57" s="179"/>
      <c r="E57" s="179"/>
      <c r="F57" s="258"/>
      <c r="G57" s="278"/>
    </row>
    <row r="58" spans="1:8" ht="21.25" customHeight="1" thickBot="1" x14ac:dyDescent="0.2">
      <c r="A58" s="95"/>
      <c r="B58" s="217"/>
      <c r="C58" s="217"/>
      <c r="D58" s="217"/>
      <c r="E58" s="217"/>
      <c r="F58" s="217"/>
      <c r="G58" s="301"/>
    </row>
    <row r="59" spans="1:8" ht="22" customHeight="1" thickBot="1" x14ac:dyDescent="0.2">
      <c r="A59" s="96" t="s">
        <v>71</v>
      </c>
      <c r="B59" s="218">
        <f>B9-B55</f>
        <v>-90915.590097228676</v>
      </c>
      <c r="C59" s="218">
        <f>C9-C55</f>
        <v>-63539.590097228676</v>
      </c>
      <c r="D59" s="218">
        <f>D9-D55</f>
        <v>-46399.590097228676</v>
      </c>
      <c r="E59" s="218">
        <f>E9-E55</f>
        <v>-42239.590097228676</v>
      </c>
      <c r="F59" s="274">
        <f>F9-F55</f>
        <v>-33669.590097228676</v>
      </c>
      <c r="G59" s="289">
        <f>SUM(B59:F59)</f>
        <v>-276763.95048614335</v>
      </c>
    </row>
    <row r="60" spans="1:8" ht="21.25" customHeight="1" x14ac:dyDescent="0.15"/>
    <row r="61" spans="1:8" ht="21.25" customHeight="1" x14ac:dyDescent="0.15"/>
    <row r="62" spans="1:8" ht="21.25" customHeight="1" x14ac:dyDescent="0.15">
      <c r="A62" s="119" t="s">
        <v>169</v>
      </c>
      <c r="B62" s="391" t="s">
        <v>133</v>
      </c>
      <c r="C62" s="391"/>
      <c r="D62" s="391"/>
      <c r="E62" s="391"/>
      <c r="F62" s="391"/>
      <c r="G62" s="391"/>
    </row>
    <row r="63" spans="1:8" ht="21.25" customHeight="1" x14ac:dyDescent="0.15">
      <c r="A63" s="115" t="s">
        <v>132</v>
      </c>
      <c r="B63" s="120">
        <v>6</v>
      </c>
      <c r="C63" s="120">
        <v>8</v>
      </c>
      <c r="D63" s="120">
        <v>10</v>
      </c>
      <c r="E63" s="120">
        <v>12</v>
      </c>
      <c r="F63" s="120">
        <v>14</v>
      </c>
      <c r="G63" s="116"/>
    </row>
    <row r="64" spans="1:8" ht="21.25" customHeight="1" x14ac:dyDescent="0.15">
      <c r="A64" s="117">
        <v>800</v>
      </c>
      <c r="B64" s="315">
        <f>(B63*A64)-(F55/F7)</f>
        <v>-16566.959009722868</v>
      </c>
      <c r="C64" s="315">
        <f>(C63*A64)-(F55/F7)</f>
        <v>-14966.959009722868</v>
      </c>
      <c r="D64" s="315">
        <f>(D63*A64)-(F55/F7)</f>
        <v>-13366.959009722868</v>
      </c>
      <c r="E64" s="315">
        <f>(E63*A64)-(F55/F7)</f>
        <v>-11766.959009722868</v>
      </c>
      <c r="F64" s="315">
        <f>(F63*A64)-(F55/F7)</f>
        <v>-10166.959009722868</v>
      </c>
      <c r="G64" s="118"/>
    </row>
    <row r="65" spans="1:256" ht="24.25" customHeight="1" x14ac:dyDescent="0.15">
      <c r="A65" s="117">
        <v>1000</v>
      </c>
      <c r="B65" s="315">
        <f>(B63*A65)-(F55/F7)</f>
        <v>-15366.959009722868</v>
      </c>
      <c r="C65" s="315">
        <f>(C63*A65)-(F55/F7)</f>
        <v>-13366.959009722868</v>
      </c>
      <c r="D65" s="315">
        <f>(D63*A65)-(F55/F7)</f>
        <v>-11366.959009722868</v>
      </c>
      <c r="E65" s="315">
        <f>(E63*A65)-(F55/F7)</f>
        <v>-9366.9590097228684</v>
      </c>
      <c r="F65" s="315">
        <f>(F63*A65)-(F55/F7)</f>
        <v>-7366.9590097228684</v>
      </c>
      <c r="G65" s="118"/>
    </row>
    <row r="66" spans="1:256" ht="26" customHeight="1" x14ac:dyDescent="0.15">
      <c r="A66" s="117">
        <v>1200</v>
      </c>
      <c r="B66" s="315">
        <f>(B63*A66)-(F55/F7)</f>
        <v>-14166.959009722868</v>
      </c>
      <c r="C66" s="315">
        <f>(C63*A66)-(F55/F7)</f>
        <v>-11766.959009722868</v>
      </c>
      <c r="D66" s="315">
        <f>(D63*A66)-(F55/F7)</f>
        <v>-9366.9590097228684</v>
      </c>
      <c r="E66" s="315">
        <f>(E63*A66)-(F55/F7)</f>
        <v>-6966.9590097228684</v>
      </c>
      <c r="F66" s="316">
        <f>(F63*A66)-(F55/F7)</f>
        <v>-4566.9590097228684</v>
      </c>
      <c r="G66" s="118"/>
    </row>
    <row r="67" spans="1:256" ht="21.25" customHeight="1" x14ac:dyDescent="0.15">
      <c r="A67" s="117">
        <v>1400</v>
      </c>
      <c r="B67" s="315">
        <f>(B63*A67)-(F55/F7)</f>
        <v>-12966.959009722868</v>
      </c>
      <c r="C67" s="315">
        <f>(C63*A67)-(F55/F7)</f>
        <v>-10166.959009722868</v>
      </c>
      <c r="D67" s="315">
        <f>(D63*A67)-(F55/F7)</f>
        <v>-7366.9590097228684</v>
      </c>
      <c r="E67" s="316">
        <f>(E63*A67)-(F55/F7)</f>
        <v>-4566.9590097228684</v>
      </c>
      <c r="F67" s="316">
        <f>(F63*A67)-(F55/F7)</f>
        <v>-1766.9590097228684</v>
      </c>
      <c r="G67" s="118"/>
    </row>
    <row r="68" spans="1:256" ht="21.25" customHeight="1" x14ac:dyDescent="0.15">
      <c r="A68" s="117">
        <v>1600</v>
      </c>
      <c r="B68" s="315">
        <f>(B63*A68)-(F55/F7)</f>
        <v>-11766.959009722868</v>
      </c>
      <c r="C68" s="315">
        <f>(C63*A68)-(F55/F7)</f>
        <v>-8566.9590097228684</v>
      </c>
      <c r="D68" s="315">
        <f>(D63*A68)-(F55/F7)</f>
        <v>-5366.9590097228684</v>
      </c>
      <c r="E68" s="316">
        <f>(E63*A68)-(F55/F7)</f>
        <v>-2166.9590097228684</v>
      </c>
      <c r="F68" s="317">
        <f>(F63*A68)-(F55/F7)</f>
        <v>1033.0409902771316</v>
      </c>
      <c r="G68" s="118"/>
    </row>
    <row r="69" spans="1:256" ht="18" customHeight="1" x14ac:dyDescent="0.15">
      <c r="A69" s="117">
        <v>1800</v>
      </c>
      <c r="B69" s="315">
        <f>(B63*A69)-(F55/F7)</f>
        <v>-10566.959009722868</v>
      </c>
      <c r="C69" s="315">
        <f>(C63*A69)-(F55/F7)</f>
        <v>-6966.9590097228684</v>
      </c>
      <c r="D69" s="316">
        <f>(D63*A69)-(F55/F7)</f>
        <v>-3366.9590097228684</v>
      </c>
      <c r="E69" s="317">
        <f>(E63*A69)-(F55/F7)</f>
        <v>233.04099027713164</v>
      </c>
      <c r="F69" s="317">
        <f>(F63*A69)-(F55/F7)</f>
        <v>3833.0409902771316</v>
      </c>
      <c r="G69" s="118"/>
    </row>
    <row r="70" spans="1:256" ht="24" customHeight="1" x14ac:dyDescent="0.15">
      <c r="A70" s="117">
        <v>2000</v>
      </c>
      <c r="B70" s="315">
        <f>(B63*A70)-(F55/F7)</f>
        <v>-9366.9590097228684</v>
      </c>
      <c r="C70" s="315">
        <f>(C63*A70)-(F55/F7)</f>
        <v>-5366.9590097228684</v>
      </c>
      <c r="D70" s="317">
        <f>(D63*A70)-(F55/F7)</f>
        <v>-1366.9590097228684</v>
      </c>
      <c r="E70" s="317">
        <f>(E63*A70)-(F55/F7)</f>
        <v>2633.0409902771316</v>
      </c>
      <c r="F70" s="388">
        <f>(F63*A70)-(F55/F7)</f>
        <v>6633.0409902771316</v>
      </c>
      <c r="G70" s="118"/>
    </row>
    <row r="71" spans="1:256" ht="21.25" customHeight="1" x14ac:dyDescent="0.15">
      <c r="A71" s="117">
        <v>2200</v>
      </c>
      <c r="B71" s="315">
        <f>(B63*A71)-(F55/F7)</f>
        <v>-8166.9590097228684</v>
      </c>
      <c r="C71" s="316">
        <f>(C63*A71)-(F55/F7)</f>
        <v>-3766.9590097228684</v>
      </c>
      <c r="D71" s="317">
        <f>(D63*A71)-(F55/F7)</f>
        <v>633.04099027713164</v>
      </c>
      <c r="E71" s="317">
        <f>(E63*A71)-(F55/F7)</f>
        <v>5033.0409902771316</v>
      </c>
      <c r="F71" s="317">
        <f>(F63*A71)-(F55/F7)</f>
        <v>9433.0409902771316</v>
      </c>
      <c r="G71" s="118"/>
    </row>
    <row r="72" spans="1:256" ht="21.25" customHeight="1" x14ac:dyDescent="0.15"/>
    <row r="73" spans="1:256" ht="50" customHeight="1" x14ac:dyDescent="0.15">
      <c r="A73" s="390" t="s">
        <v>154</v>
      </c>
      <c r="B73" s="390"/>
      <c r="C73" s="390"/>
      <c r="D73" s="390"/>
      <c r="E73" s="390"/>
      <c r="F73" s="390"/>
      <c r="G73" s="161">
        <f>'App. A -Bld Out Infrastructure'!D47+'App. B -Buildout Labor'!F21</f>
        <v>18005.1944</v>
      </c>
      <c r="IP73" s="2"/>
      <c r="IQ73" s="2"/>
      <c r="IR73" s="2"/>
      <c r="IS73" s="2"/>
      <c r="IT73" s="2"/>
      <c r="IU73" s="2"/>
      <c r="IV73" s="2"/>
    </row>
    <row r="74" spans="1:256" ht="24" customHeight="1" x14ac:dyDescent="0.15"/>
    <row r="75" spans="1:256" ht="23" customHeight="1" x14ac:dyDescent="0.15"/>
    <row r="76" spans="1:256" ht="24" customHeight="1" x14ac:dyDescent="0.15"/>
    <row r="77" spans="1:256" ht="24" customHeight="1" x14ac:dyDescent="0.15"/>
    <row r="78" spans="1:256" ht="25" customHeight="1" x14ac:dyDescent="0.15"/>
    <row r="79" spans="1:256" ht="25" customHeight="1" x14ac:dyDescent="0.15"/>
    <row r="80" spans="1:256" ht="21.25" customHeight="1" x14ac:dyDescent="0.15"/>
    <row r="81" ht="21.25" customHeight="1" x14ac:dyDescent="0.15"/>
    <row r="82" ht="25.25" customHeight="1" x14ac:dyDescent="0.15"/>
    <row r="83" ht="25.25" customHeight="1" x14ac:dyDescent="0.15"/>
    <row r="84" ht="30.25" customHeight="1" x14ac:dyDescent="0.15"/>
    <row r="85" ht="21.25" customHeight="1" x14ac:dyDescent="0.15"/>
    <row r="86" ht="23" customHeight="1" x14ac:dyDescent="0.15"/>
    <row r="87" ht="21.25" customHeight="1" x14ac:dyDescent="0.15"/>
  </sheetData>
  <mergeCells count="5">
    <mergeCell ref="A73:F73"/>
    <mergeCell ref="B62:G62"/>
    <mergeCell ref="A1:G1"/>
    <mergeCell ref="A3:G3"/>
    <mergeCell ref="A2:G2"/>
  </mergeCells>
  <phoneticPr fontId="1" type="noConversion"/>
  <conditionalFormatting sqref="B64:F71">
    <cfRule type="colorScale" priority="1">
      <colorScale>
        <cfvo type="num" val="0"/>
        <cfvo type="num" val="1"/>
        <color theme="0"/>
        <color theme="5" tint="0.59999389629810485"/>
      </colorScale>
    </cfRule>
  </conditionalFormatting>
  <pageMargins left="0.25" right="0.25" top="0.5" bottom="0.5" header="0.28000000000000003" footer="0.28000000000000003"/>
  <pageSetup scale="42" orientation="portrait"/>
  <headerFooter>
    <oddFooter>&amp;C&amp;"Helvetica,Regular"&amp;12&amp;K000000&amp;P</oddFooter>
  </headerFooter>
  <rowBreaks count="2" manualBreakCount="2">
    <brk id="60" max="16383" man="1"/>
    <brk id="68" max="16383"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90"/>
  <sheetViews>
    <sheetView showGridLines="0" tabSelected="1" topLeftCell="A53" zoomScale="92" zoomScaleNormal="92" zoomScalePageLayoutView="92" workbookViewId="0">
      <selection activeCell="E49" sqref="E49"/>
    </sheetView>
  </sheetViews>
  <sheetFormatPr baseColWidth="10" defaultColWidth="16.33203125" defaultRowHeight="18" customHeight="1" x14ac:dyDescent="0.15"/>
  <cols>
    <col min="1" max="1" width="76" style="1" customWidth="1"/>
    <col min="2" max="2" width="18.6640625" style="1" customWidth="1"/>
    <col min="3" max="4" width="17.5" style="1" customWidth="1"/>
    <col min="5" max="5" width="17.1640625" style="1" customWidth="1"/>
    <col min="6" max="6" width="19.1640625" style="1" customWidth="1"/>
    <col min="7" max="7" width="28.83203125" style="1" customWidth="1"/>
    <col min="8" max="256" width="16.33203125" style="1" customWidth="1"/>
    <col min="257" max="16384" width="16.33203125" style="2"/>
  </cols>
  <sheetData>
    <row r="1" spans="1:14" ht="39" customHeight="1" thickBot="1" x14ac:dyDescent="0.2">
      <c r="A1" s="396" t="s">
        <v>198</v>
      </c>
      <c r="B1" s="396"/>
      <c r="C1" s="396"/>
      <c r="D1" s="396"/>
      <c r="E1" s="396"/>
      <c r="F1" s="396"/>
      <c r="G1" s="396"/>
      <c r="I1" s="395"/>
      <c r="J1" s="395"/>
      <c r="K1" s="395"/>
      <c r="L1" s="395"/>
      <c r="M1" s="135"/>
      <c r="N1" s="135"/>
    </row>
    <row r="2" spans="1:14" ht="25" customHeight="1" thickBot="1" x14ac:dyDescent="0.2">
      <c r="A2" s="394" t="s">
        <v>191</v>
      </c>
      <c r="B2" s="394"/>
      <c r="C2" s="394"/>
      <c r="D2" s="394"/>
      <c r="E2" s="394"/>
      <c r="F2" s="394"/>
      <c r="G2" s="394"/>
      <c r="I2" s="395"/>
      <c r="J2" s="395"/>
      <c r="K2" s="395"/>
      <c r="L2" s="395"/>
    </row>
    <row r="3" spans="1:14" ht="63" customHeight="1" thickBot="1" x14ac:dyDescent="0.2">
      <c r="A3" s="397" t="s">
        <v>102</v>
      </c>
      <c r="B3" s="397"/>
      <c r="C3" s="397"/>
      <c r="D3" s="397"/>
      <c r="E3" s="397"/>
      <c r="F3" s="397"/>
      <c r="G3" s="397"/>
      <c r="I3" s="395"/>
      <c r="J3" s="395"/>
      <c r="K3" s="395"/>
      <c r="L3" s="395"/>
    </row>
    <row r="4" spans="1:14" ht="41" customHeight="1" x14ac:dyDescent="0.15">
      <c r="A4" s="97" t="s">
        <v>0</v>
      </c>
      <c r="B4" s="108" t="s">
        <v>80</v>
      </c>
      <c r="C4" s="108" t="s">
        <v>81</v>
      </c>
      <c r="D4" s="108" t="s">
        <v>82</v>
      </c>
      <c r="E4" s="108" t="s">
        <v>83</v>
      </c>
      <c r="F4" s="253" t="s">
        <v>84</v>
      </c>
      <c r="G4" s="275" t="s">
        <v>229</v>
      </c>
    </row>
    <row r="5" spans="1:14" ht="29" customHeight="1" x14ac:dyDescent="0.15">
      <c r="A5" s="86" t="s">
        <v>68</v>
      </c>
      <c r="B5" s="31"/>
      <c r="C5" s="22"/>
      <c r="D5" s="22"/>
      <c r="E5" s="22"/>
      <c r="F5" s="254"/>
      <c r="G5" s="276"/>
    </row>
    <row r="6" spans="1:14" ht="19" customHeight="1" x14ac:dyDescent="0.15">
      <c r="A6" s="89" t="s">
        <v>86</v>
      </c>
      <c r="B6" s="219">
        <f>1500*0</f>
        <v>0</v>
      </c>
      <c r="C6" s="220">
        <v>1100</v>
      </c>
      <c r="D6" s="220">
        <v>1500</v>
      </c>
      <c r="E6" s="220">
        <v>1600</v>
      </c>
      <c r="F6" s="255">
        <v>1800</v>
      </c>
      <c r="G6" s="277"/>
    </row>
    <row r="7" spans="1:14" ht="19" customHeight="1" x14ac:dyDescent="0.15">
      <c r="A7" s="89" t="s">
        <v>88</v>
      </c>
      <c r="B7" s="219">
        <v>10</v>
      </c>
      <c r="C7" s="220">
        <v>10</v>
      </c>
      <c r="D7" s="220">
        <v>10</v>
      </c>
      <c r="E7" s="220">
        <v>10</v>
      </c>
      <c r="F7" s="255">
        <v>10</v>
      </c>
      <c r="G7" s="277"/>
    </row>
    <row r="8" spans="1:14" ht="21" customHeight="1" x14ac:dyDescent="0.15">
      <c r="A8" s="98" t="s">
        <v>87</v>
      </c>
      <c r="B8" s="246">
        <v>10</v>
      </c>
      <c r="C8" s="247">
        <v>10</v>
      </c>
      <c r="D8" s="247">
        <v>10</v>
      </c>
      <c r="E8" s="247">
        <v>10</v>
      </c>
      <c r="F8" s="256">
        <v>10</v>
      </c>
      <c r="G8" s="277"/>
    </row>
    <row r="9" spans="1:14" ht="20" customHeight="1" thickBot="1" x14ac:dyDescent="0.2">
      <c r="A9" s="92" t="s">
        <v>69</v>
      </c>
      <c r="B9" s="198">
        <f>(1500*0)*5*12</f>
        <v>0</v>
      </c>
      <c r="C9" s="198">
        <f>C6*C7*C8</f>
        <v>110000</v>
      </c>
      <c r="D9" s="198">
        <f t="shared" ref="D9:F9" si="0">D6*D7*D8</f>
        <v>150000</v>
      </c>
      <c r="E9" s="198">
        <f t="shared" si="0"/>
        <v>160000</v>
      </c>
      <c r="F9" s="257">
        <f t="shared" si="0"/>
        <v>180000</v>
      </c>
      <c r="G9" s="302">
        <f>SUM(B9:F9)</f>
        <v>600000</v>
      </c>
    </row>
    <row r="10" spans="1:14" ht="21" customHeight="1" x14ac:dyDescent="0.15">
      <c r="A10" s="99"/>
      <c r="B10" s="199"/>
      <c r="C10" s="199"/>
      <c r="D10" s="199"/>
      <c r="E10" s="199"/>
      <c r="F10" s="199"/>
      <c r="G10" s="278"/>
    </row>
    <row r="11" spans="1:14" ht="32.5" customHeight="1" x14ac:dyDescent="0.15">
      <c r="A11" s="86" t="s">
        <v>1</v>
      </c>
      <c r="B11" s="195"/>
      <c r="C11" s="179"/>
      <c r="D11" s="179"/>
      <c r="E11" s="179"/>
      <c r="F11" s="258"/>
      <c r="G11" s="278"/>
    </row>
    <row r="12" spans="1:14" ht="24.25" customHeight="1" x14ac:dyDescent="0.15">
      <c r="A12" s="8" t="s">
        <v>63</v>
      </c>
      <c r="B12" s="195"/>
      <c r="C12" s="179"/>
      <c r="D12" s="179"/>
      <c r="E12" s="179"/>
      <c r="F12" s="258"/>
      <c r="G12" s="278"/>
    </row>
    <row r="13" spans="1:14" ht="19" customHeight="1" x14ac:dyDescent="0.15">
      <c r="A13" s="85" t="s">
        <v>72</v>
      </c>
      <c r="B13" s="195">
        <f>'App. A -Bld Out Infrastructure'!D47*'Cash Flow-grow+harvest+dry+bale'!B7</f>
        <v>130291.94399999999</v>
      </c>
      <c r="C13" s="179"/>
      <c r="D13" s="179"/>
      <c r="E13" s="179"/>
      <c r="F13" s="258"/>
      <c r="G13" s="278"/>
    </row>
    <row r="14" spans="1:14" ht="21.25" customHeight="1" x14ac:dyDescent="0.15">
      <c r="A14" s="85" t="s">
        <v>64</v>
      </c>
      <c r="B14" s="195">
        <f>'App. B -Buildout Labor'!F21*'Cash Flow-grow+harvest+dry+bale'!B7</f>
        <v>49760</v>
      </c>
      <c r="C14" s="179"/>
      <c r="D14" s="179"/>
      <c r="E14" s="179"/>
      <c r="F14" s="258"/>
      <c r="G14" s="278"/>
    </row>
    <row r="15" spans="1:14" ht="21.25" customHeight="1" x14ac:dyDescent="0.15">
      <c r="A15" s="166" t="s">
        <v>79</v>
      </c>
      <c r="B15" s="188">
        <f>'App. C-Equipment'!D15</f>
        <v>97000</v>
      </c>
      <c r="C15" s="206"/>
      <c r="D15" s="206"/>
      <c r="E15" s="206"/>
      <c r="F15" s="259"/>
      <c r="G15" s="279"/>
    </row>
    <row r="16" spans="1:14" ht="21.25" customHeight="1" x14ac:dyDescent="0.15">
      <c r="A16" s="167" t="s">
        <v>254</v>
      </c>
      <c r="B16" s="183">
        <f>SUM(B13:B15)</f>
        <v>277051.94400000002</v>
      </c>
      <c r="C16" s="208">
        <f>SUM(C13:C14)</f>
        <v>0</v>
      </c>
      <c r="D16" s="208">
        <f>SUM(D13:D14)</f>
        <v>0</v>
      </c>
      <c r="E16" s="208">
        <f>SUM(E13:E14)</f>
        <v>0</v>
      </c>
      <c r="F16" s="260">
        <f>SUM(F13:F14)</f>
        <v>0</v>
      </c>
      <c r="G16" s="280"/>
    </row>
    <row r="17" spans="1:7" ht="21.25" customHeight="1" x14ac:dyDescent="0.15">
      <c r="A17" s="87"/>
      <c r="B17" s="204"/>
      <c r="C17" s="205"/>
      <c r="D17" s="205"/>
      <c r="E17" s="205"/>
      <c r="F17" s="261"/>
      <c r="G17" s="278"/>
    </row>
    <row r="18" spans="1:7" ht="21.25" customHeight="1" x14ac:dyDescent="0.15">
      <c r="A18" s="8" t="s">
        <v>159</v>
      </c>
      <c r="B18" s="195"/>
      <c r="C18" s="179"/>
      <c r="D18" s="179"/>
      <c r="E18" s="179"/>
      <c r="F18" s="258"/>
      <c r="G18" s="278"/>
    </row>
    <row r="19" spans="1:7" ht="21.25" customHeight="1" x14ac:dyDescent="0.15">
      <c r="A19" s="85" t="s">
        <v>126</v>
      </c>
      <c r="B19" s="171"/>
      <c r="C19" s="172">
        <f t="shared" ref="C19:F19" si="1">1920*0.17*C7</f>
        <v>3264.0000000000005</v>
      </c>
      <c r="D19" s="172">
        <f t="shared" si="1"/>
        <v>3264.0000000000005</v>
      </c>
      <c r="E19" s="172">
        <f t="shared" si="1"/>
        <v>3264.0000000000005</v>
      </c>
      <c r="F19" s="262">
        <f t="shared" si="1"/>
        <v>3264.0000000000005</v>
      </c>
      <c r="G19" s="281"/>
    </row>
    <row r="20" spans="1:7" ht="21.25" customHeight="1" x14ac:dyDescent="0.15">
      <c r="A20" s="85" t="s">
        <v>230</v>
      </c>
      <c r="B20" s="171"/>
      <c r="C20" s="173">
        <f t="shared" ref="C20:F20" si="2">340*C7</f>
        <v>3400</v>
      </c>
      <c r="D20" s="173">
        <f t="shared" si="2"/>
        <v>3400</v>
      </c>
      <c r="E20" s="173">
        <f t="shared" si="2"/>
        <v>3400</v>
      </c>
      <c r="F20" s="263">
        <f t="shared" si="2"/>
        <v>3400</v>
      </c>
      <c r="G20" s="282"/>
    </row>
    <row r="21" spans="1:7" ht="21.25" customHeight="1" x14ac:dyDescent="0.15">
      <c r="A21" s="85" t="s">
        <v>185</v>
      </c>
      <c r="B21" s="171"/>
      <c r="C21" s="174">
        <f>150*C7</f>
        <v>1500</v>
      </c>
      <c r="D21" s="174">
        <f>150*D7</f>
        <v>1500</v>
      </c>
      <c r="E21" s="174">
        <f t="shared" ref="E21" si="3">150*E7</f>
        <v>1500</v>
      </c>
      <c r="F21" s="264">
        <f>150*F7</f>
        <v>1500</v>
      </c>
      <c r="G21" s="283"/>
    </row>
    <row r="22" spans="1:7" ht="24.25" customHeight="1" x14ac:dyDescent="0.15">
      <c r="A22" s="85" t="s">
        <v>127</v>
      </c>
      <c r="B22" s="171">
        <f>400*B7</f>
        <v>4000</v>
      </c>
      <c r="C22" s="174">
        <f>650*C7</f>
        <v>6500</v>
      </c>
      <c r="D22" s="174">
        <f t="shared" ref="D22:F22" si="4">650*D7</f>
        <v>6500</v>
      </c>
      <c r="E22" s="174">
        <f t="shared" si="4"/>
        <v>6500</v>
      </c>
      <c r="F22" s="264">
        <f t="shared" si="4"/>
        <v>6500</v>
      </c>
      <c r="G22" s="284"/>
    </row>
    <row r="23" spans="1:7" ht="24.25" customHeight="1" x14ac:dyDescent="0.15">
      <c r="A23" s="85" t="s">
        <v>129</v>
      </c>
      <c r="B23" s="171">
        <f>500*B7</f>
        <v>5000</v>
      </c>
      <c r="C23" s="174">
        <f>750*C7</f>
        <v>7500</v>
      </c>
      <c r="D23" s="174">
        <f t="shared" ref="D23:F23" si="5">750*D7</f>
        <v>7500</v>
      </c>
      <c r="E23" s="174">
        <f t="shared" si="5"/>
        <v>7500</v>
      </c>
      <c r="F23" s="264">
        <f t="shared" si="5"/>
        <v>7500</v>
      </c>
      <c r="G23" s="284"/>
    </row>
    <row r="24" spans="1:7" s="1" customFormat="1" ht="21.25" customHeight="1" x14ac:dyDescent="0.15">
      <c r="A24" s="85" t="s">
        <v>183</v>
      </c>
      <c r="B24" s="171">
        <f>30*0.3*12*B7</f>
        <v>1080</v>
      </c>
      <c r="C24" s="174">
        <f>30*0.3*20*C7</f>
        <v>1800</v>
      </c>
      <c r="D24" s="174">
        <f t="shared" ref="D24:F24" si="6">30*0.3*20*D7</f>
        <v>1800</v>
      </c>
      <c r="E24" s="174">
        <f t="shared" si="6"/>
        <v>1800</v>
      </c>
      <c r="F24" s="264">
        <f t="shared" si="6"/>
        <v>1800</v>
      </c>
      <c r="G24" s="284"/>
    </row>
    <row r="25" spans="1:7" s="1" customFormat="1" ht="21.25" customHeight="1" x14ac:dyDescent="0.15">
      <c r="A25" s="85" t="s">
        <v>174</v>
      </c>
      <c r="B25" s="171"/>
      <c r="C25" s="174">
        <f>800*C7</f>
        <v>8000</v>
      </c>
      <c r="D25" s="174">
        <f t="shared" ref="D25:F25" si="7">800*D7</f>
        <v>8000</v>
      </c>
      <c r="E25" s="174">
        <f t="shared" si="7"/>
        <v>8000</v>
      </c>
      <c r="F25" s="264">
        <f t="shared" si="7"/>
        <v>8000</v>
      </c>
      <c r="G25" s="284"/>
    </row>
    <row r="26" spans="1:7" s="1" customFormat="1" ht="21.25" customHeight="1" x14ac:dyDescent="0.15">
      <c r="A26" s="85" t="s">
        <v>182</v>
      </c>
      <c r="B26" s="171">
        <f>128*B7*2</f>
        <v>2560</v>
      </c>
      <c r="C26" s="174">
        <f t="shared" ref="C26:F26" si="8">128*C7*2</f>
        <v>2560</v>
      </c>
      <c r="D26" s="174">
        <f t="shared" si="8"/>
        <v>2560</v>
      </c>
      <c r="E26" s="174">
        <f t="shared" si="8"/>
        <v>2560</v>
      </c>
      <c r="F26" s="264">
        <f t="shared" si="8"/>
        <v>2560</v>
      </c>
      <c r="G26" s="284"/>
    </row>
    <row r="27" spans="1:7" s="1" customFormat="1" ht="21.25" customHeight="1" x14ac:dyDescent="0.15">
      <c r="A27" s="85" t="s">
        <v>128</v>
      </c>
      <c r="B27" s="171">
        <f>150*B7</f>
        <v>1500</v>
      </c>
      <c r="C27" s="174">
        <f t="shared" ref="C27:F27" si="9">150*C7</f>
        <v>1500</v>
      </c>
      <c r="D27" s="174">
        <f t="shared" si="9"/>
        <v>1500</v>
      </c>
      <c r="E27" s="174">
        <f t="shared" si="9"/>
        <v>1500</v>
      </c>
      <c r="F27" s="264">
        <f t="shared" si="9"/>
        <v>1500</v>
      </c>
      <c r="G27" s="284"/>
    </row>
    <row r="28" spans="1:7" s="1" customFormat="1" ht="21.25" customHeight="1" x14ac:dyDescent="0.15">
      <c r="A28" s="85" t="s">
        <v>130</v>
      </c>
      <c r="B28" s="175">
        <f>200*B7</f>
        <v>2000</v>
      </c>
      <c r="C28" s="176">
        <f t="shared" ref="C28:F28" si="10">400*C7</f>
        <v>4000</v>
      </c>
      <c r="D28" s="176">
        <f t="shared" si="10"/>
        <v>4000</v>
      </c>
      <c r="E28" s="176">
        <f t="shared" si="10"/>
        <v>4000</v>
      </c>
      <c r="F28" s="265">
        <f t="shared" si="10"/>
        <v>4000</v>
      </c>
      <c r="G28" s="285"/>
    </row>
    <row r="29" spans="1:7" s="1" customFormat="1" ht="21.25" customHeight="1" x14ac:dyDescent="0.15">
      <c r="A29" s="167" t="s">
        <v>164</v>
      </c>
      <c r="B29" s="177">
        <f>SUM(B19:B28)</f>
        <v>16140</v>
      </c>
      <c r="C29" s="177">
        <f>SUM(C19:C28)</f>
        <v>40024</v>
      </c>
      <c r="D29" s="177">
        <f t="shared" ref="D29:F29" si="11">SUM(D19:D28)</f>
        <v>40024</v>
      </c>
      <c r="E29" s="177">
        <f t="shared" si="11"/>
        <v>40024</v>
      </c>
      <c r="F29" s="177">
        <f t="shared" si="11"/>
        <v>40024</v>
      </c>
      <c r="G29" s="307">
        <f>SUM(B29:F29)</f>
        <v>176236</v>
      </c>
    </row>
    <row r="30" spans="1:7" s="1" customFormat="1" ht="21.25" customHeight="1" x14ac:dyDescent="0.15">
      <c r="A30" s="85"/>
      <c r="B30" s="171"/>
      <c r="C30" s="174"/>
      <c r="D30" s="174"/>
      <c r="E30" s="174"/>
      <c r="F30" s="264"/>
      <c r="G30" s="284"/>
    </row>
    <row r="31" spans="1:7" s="1" customFormat="1" ht="21.25" customHeight="1" x14ac:dyDescent="0.15">
      <c r="A31" s="8" t="s">
        <v>160</v>
      </c>
      <c r="B31" s="171"/>
      <c r="C31" s="174"/>
      <c r="D31" s="174"/>
      <c r="E31" s="174"/>
      <c r="F31" s="264"/>
      <c r="G31" s="284"/>
    </row>
    <row r="32" spans="1:7" s="1" customFormat="1" ht="34" customHeight="1" x14ac:dyDescent="0.15">
      <c r="A32" s="85" t="s">
        <v>124</v>
      </c>
      <c r="B32" s="178"/>
      <c r="C32" s="179">
        <f>48*16*C7</f>
        <v>7680</v>
      </c>
      <c r="D32" s="179">
        <f t="shared" ref="D32:F32" si="12">48*16*D7</f>
        <v>7680</v>
      </c>
      <c r="E32" s="179">
        <f t="shared" si="12"/>
        <v>7680</v>
      </c>
      <c r="F32" s="258">
        <f t="shared" si="12"/>
        <v>7680</v>
      </c>
      <c r="G32" s="278"/>
    </row>
    <row r="33" spans="1:7" s="1" customFormat="1" ht="21.25" customHeight="1" x14ac:dyDescent="0.15">
      <c r="A33" s="85" t="s">
        <v>90</v>
      </c>
      <c r="B33" s="178"/>
      <c r="C33" s="179">
        <v>0</v>
      </c>
      <c r="D33" s="179">
        <v>0</v>
      </c>
      <c r="E33" s="179">
        <v>0</v>
      </c>
      <c r="F33" s="258">
        <v>0</v>
      </c>
      <c r="G33" s="286" t="s">
        <v>125</v>
      </c>
    </row>
    <row r="34" spans="1:7" s="1" customFormat="1" ht="21.25" customHeight="1" x14ac:dyDescent="0.15">
      <c r="A34" s="85" t="s">
        <v>192</v>
      </c>
      <c r="B34" s="234"/>
      <c r="C34" s="235">
        <f>200*C7</f>
        <v>2000</v>
      </c>
      <c r="D34" s="235">
        <f>225*D7</f>
        <v>2250</v>
      </c>
      <c r="E34" s="235">
        <f>240*E7</f>
        <v>2400</v>
      </c>
      <c r="F34" s="266">
        <f t="shared" ref="F34" si="13">250*F7</f>
        <v>2500</v>
      </c>
      <c r="G34" s="287"/>
    </row>
    <row r="35" spans="1:7" s="1" customFormat="1" ht="21.25" customHeight="1" x14ac:dyDescent="0.15">
      <c r="A35" s="85" t="s">
        <v>193</v>
      </c>
      <c r="B35" s="234"/>
      <c r="C35" s="235">
        <f>8*12*C7</f>
        <v>960</v>
      </c>
      <c r="D35" s="235">
        <f>10*12*D7</f>
        <v>1200</v>
      </c>
      <c r="E35" s="235">
        <f>11*12*E7</f>
        <v>1320</v>
      </c>
      <c r="F35" s="266">
        <f>12*12*F7</f>
        <v>1440</v>
      </c>
      <c r="G35" s="287"/>
    </row>
    <row r="36" spans="1:7" s="1" customFormat="1" ht="21.25" customHeight="1" x14ac:dyDescent="0.15">
      <c r="A36" s="85" t="s">
        <v>194</v>
      </c>
      <c r="B36" s="234"/>
      <c r="C36" s="235">
        <f>12*(C6/100/3)*C7</f>
        <v>440</v>
      </c>
      <c r="D36" s="235">
        <f t="shared" ref="D36:F36" si="14">12*(D6/100/3)*D7</f>
        <v>600</v>
      </c>
      <c r="E36" s="235">
        <f t="shared" si="14"/>
        <v>640</v>
      </c>
      <c r="F36" s="266">
        <f t="shared" si="14"/>
        <v>720</v>
      </c>
      <c r="G36" s="287"/>
    </row>
    <row r="37" spans="1:7" s="1" customFormat="1" ht="21.25" customHeight="1" x14ac:dyDescent="0.15">
      <c r="A37" s="85" t="s">
        <v>195</v>
      </c>
      <c r="B37" s="248"/>
      <c r="C37" s="235">
        <f>(C6/100)*10*2*C7</f>
        <v>2200</v>
      </c>
      <c r="D37" s="235">
        <f t="shared" ref="D37:E37" si="15">(D6/100)*10*2*D7</f>
        <v>3000</v>
      </c>
      <c r="E37" s="235">
        <f t="shared" si="15"/>
        <v>3200</v>
      </c>
      <c r="F37" s="266">
        <f>(F6/100)*10*2*F7</f>
        <v>3600</v>
      </c>
      <c r="G37" s="278">
        <f>SUM(B37:F37)</f>
        <v>12000</v>
      </c>
    </row>
    <row r="38" spans="1:7" s="1" customFormat="1" ht="21.25" customHeight="1" x14ac:dyDescent="0.15">
      <c r="A38" s="85" t="s">
        <v>120</v>
      </c>
      <c r="B38" s="180"/>
      <c r="C38" s="179">
        <f>(C6)*1.5*C7</f>
        <v>16500</v>
      </c>
      <c r="D38" s="179">
        <f t="shared" ref="D38:F38" si="16">(D6)*1.5*D7</f>
        <v>22500</v>
      </c>
      <c r="E38" s="179">
        <f t="shared" si="16"/>
        <v>24000</v>
      </c>
      <c r="F38" s="258">
        <f t="shared" si="16"/>
        <v>27000</v>
      </c>
      <c r="G38" s="278">
        <f>SUM(B38:F38)</f>
        <v>90000</v>
      </c>
    </row>
    <row r="39" spans="1:7" s="1" customFormat="1" ht="21.25" customHeight="1" x14ac:dyDescent="0.15">
      <c r="A39" s="85" t="s">
        <v>66</v>
      </c>
      <c r="B39" s="171"/>
      <c r="C39" s="174">
        <f>10*125</f>
        <v>1250</v>
      </c>
      <c r="D39" s="174">
        <f>10*125</f>
        <v>1250</v>
      </c>
      <c r="E39" s="174">
        <f>10*125</f>
        <v>1250</v>
      </c>
      <c r="F39" s="264">
        <f>10*125</f>
        <v>1250</v>
      </c>
      <c r="G39" s="278">
        <f>SUM(B39:F39)</f>
        <v>5000</v>
      </c>
    </row>
    <row r="40" spans="1:7" s="1" customFormat="1" ht="21.25" customHeight="1" x14ac:dyDescent="0.15">
      <c r="A40" s="166" t="s">
        <v>101</v>
      </c>
      <c r="B40" s="181"/>
      <c r="C40" s="182">
        <f>0.1*C9</f>
        <v>11000</v>
      </c>
      <c r="D40" s="182">
        <f t="shared" ref="D40:F40" si="17">0.1*D9</f>
        <v>15000</v>
      </c>
      <c r="E40" s="182">
        <f t="shared" si="17"/>
        <v>16000</v>
      </c>
      <c r="F40" s="267">
        <f t="shared" si="17"/>
        <v>18000</v>
      </c>
      <c r="G40" s="279">
        <f>SUM(B40:F40)</f>
        <v>60000</v>
      </c>
    </row>
    <row r="41" spans="1:7" s="1" customFormat="1" ht="21.25" customHeight="1" x14ac:dyDescent="0.15">
      <c r="A41" s="167" t="s">
        <v>165</v>
      </c>
      <c r="B41" s="183">
        <f>SUM(B32:B40)</f>
        <v>0</v>
      </c>
      <c r="C41" s="183">
        <f>SUM(C32:C40)</f>
        <v>42030</v>
      </c>
      <c r="D41" s="183">
        <f t="shared" ref="D41:F41" si="18">SUM(D32:D40)</f>
        <v>53480</v>
      </c>
      <c r="E41" s="183">
        <f t="shared" si="18"/>
        <v>56490</v>
      </c>
      <c r="F41" s="183">
        <f t="shared" si="18"/>
        <v>62190</v>
      </c>
      <c r="G41" s="306">
        <f>SUM(B41:F41)</f>
        <v>214190</v>
      </c>
    </row>
    <row r="42" spans="1:7" s="1" customFormat="1" ht="21.25" customHeight="1" x14ac:dyDescent="0.15">
      <c r="A42" s="85"/>
      <c r="B42" s="171"/>
      <c r="C42" s="174"/>
      <c r="D42" s="174"/>
      <c r="E42" s="174"/>
      <c r="F42" s="264"/>
      <c r="G42" s="278"/>
    </row>
    <row r="43" spans="1:7" s="1" customFormat="1" ht="21.25" customHeight="1" x14ac:dyDescent="0.15">
      <c r="A43" s="8" t="s">
        <v>163</v>
      </c>
      <c r="B43" s="171"/>
      <c r="C43" s="174"/>
      <c r="D43" s="174"/>
      <c r="E43" s="174"/>
      <c r="F43" s="264"/>
      <c r="G43" s="278"/>
    </row>
    <row r="44" spans="1:7" s="1" customFormat="1" ht="21.25" customHeight="1" x14ac:dyDescent="0.15">
      <c r="A44" s="168" t="s">
        <v>99</v>
      </c>
      <c r="B44" s="181">
        <f>'App. D Loan detail'!B21</f>
        <v>65050.072807090553</v>
      </c>
      <c r="C44" s="182">
        <f>'App. D Loan detail'!B21</f>
        <v>65050.072807090553</v>
      </c>
      <c r="D44" s="182">
        <f>'App. D Loan detail'!B21</f>
        <v>65050.072807090553</v>
      </c>
      <c r="E44" s="182">
        <f>'App. D Loan detail'!B21</f>
        <v>65050.072807090553</v>
      </c>
      <c r="F44" s="267">
        <f>'App. D Loan detail'!B21</f>
        <v>65050.072807090553</v>
      </c>
      <c r="G44" s="279">
        <f>SUM(B44:F44)</f>
        <v>325250.36403545277</v>
      </c>
    </row>
    <row r="45" spans="1:7" s="1" customFormat="1" ht="21.25" customHeight="1" x14ac:dyDescent="0.15">
      <c r="A45" s="167" t="s">
        <v>166</v>
      </c>
      <c r="B45" s="183">
        <f>B44</f>
        <v>65050.072807090553</v>
      </c>
      <c r="C45" s="184">
        <f t="shared" ref="C45:F45" si="19">C44</f>
        <v>65050.072807090553</v>
      </c>
      <c r="D45" s="184">
        <f t="shared" si="19"/>
        <v>65050.072807090553</v>
      </c>
      <c r="E45" s="184">
        <f t="shared" si="19"/>
        <v>65050.072807090553</v>
      </c>
      <c r="F45" s="268">
        <f t="shared" si="19"/>
        <v>65050.072807090553</v>
      </c>
      <c r="G45" s="306">
        <f>SUM(B45:F45)</f>
        <v>325250.36403545277</v>
      </c>
    </row>
    <row r="46" spans="1:7" s="1" customFormat="1" ht="21.25" customHeight="1" x14ac:dyDescent="0.15">
      <c r="A46" s="168"/>
      <c r="B46" s="181"/>
      <c r="C46" s="182"/>
      <c r="D46" s="182"/>
      <c r="E46" s="182"/>
      <c r="F46" s="267"/>
      <c r="G46" s="278"/>
    </row>
    <row r="47" spans="1:7" s="1" customFormat="1" ht="21.25" customHeight="1" x14ac:dyDescent="0.15">
      <c r="A47" s="170" t="s">
        <v>2</v>
      </c>
      <c r="B47" s="185">
        <f>B29+B41+B45</f>
        <v>81190.072807090561</v>
      </c>
      <c r="C47" s="185">
        <f t="shared" ref="C47:F47" si="20">C29+C41+C45</f>
        <v>147104.07280709056</v>
      </c>
      <c r="D47" s="185">
        <f t="shared" si="20"/>
        <v>158554.07280709056</v>
      </c>
      <c r="E47" s="185">
        <f t="shared" si="20"/>
        <v>161564.07280709056</v>
      </c>
      <c r="F47" s="185">
        <f t="shared" si="20"/>
        <v>167264.07280709056</v>
      </c>
      <c r="G47" s="302">
        <f>SUM(B47:F47)</f>
        <v>715676.36403545283</v>
      </c>
    </row>
    <row r="48" spans="1:7" s="1" customFormat="1" ht="21.25" customHeight="1" x14ac:dyDescent="0.15">
      <c r="A48" s="133" t="s">
        <v>156</v>
      </c>
      <c r="B48" s="186">
        <f>(B41)/5</f>
        <v>0</v>
      </c>
      <c r="C48" s="187">
        <f>(C41)/5</f>
        <v>8406</v>
      </c>
      <c r="D48" s="187">
        <f t="shared" ref="D48:F48" si="21">(D41)/5</f>
        <v>10696</v>
      </c>
      <c r="E48" s="187">
        <f t="shared" si="21"/>
        <v>11298</v>
      </c>
      <c r="F48" s="269">
        <f t="shared" si="21"/>
        <v>12438</v>
      </c>
      <c r="G48" s="305">
        <f>SUM(B48:F48)</f>
        <v>42838</v>
      </c>
    </row>
    <row r="49" spans="1:7" s="1" customFormat="1" ht="21.25" customHeight="1" x14ac:dyDescent="0.15">
      <c r="A49" s="85"/>
      <c r="B49" s="178"/>
      <c r="C49" s="179"/>
      <c r="D49" s="179"/>
      <c r="E49" s="179"/>
      <c r="F49" s="258"/>
      <c r="G49" s="278"/>
    </row>
    <row r="50" spans="1:7" s="1" customFormat="1" ht="25.25" customHeight="1" x14ac:dyDescent="0.15">
      <c r="A50" s="8" t="s">
        <v>161</v>
      </c>
      <c r="B50" s="188"/>
      <c r="C50" s="179"/>
      <c r="D50" s="179"/>
      <c r="E50" s="179"/>
      <c r="F50" s="258"/>
      <c r="G50" s="278"/>
    </row>
    <row r="51" spans="1:7" s="1" customFormat="1" ht="21.25" customHeight="1" x14ac:dyDescent="0.15">
      <c r="A51" s="239" t="s">
        <v>116</v>
      </c>
      <c r="B51" s="189">
        <f>80*B7*20</f>
        <v>16000</v>
      </c>
      <c r="C51" s="179">
        <f>40*C7*20</f>
        <v>8000</v>
      </c>
      <c r="D51" s="179">
        <f t="shared" ref="D51:F51" si="22">40*D7*20</f>
        <v>8000</v>
      </c>
      <c r="E51" s="179">
        <f t="shared" si="22"/>
        <v>8000</v>
      </c>
      <c r="F51" s="258">
        <f t="shared" si="22"/>
        <v>8000</v>
      </c>
      <c r="G51" s="288"/>
    </row>
    <row r="52" spans="1:7" s="1" customFormat="1" ht="22" customHeight="1" x14ac:dyDescent="0.15">
      <c r="A52" s="89" t="s">
        <v>3</v>
      </c>
      <c r="B52" s="189">
        <f>80*B7</f>
        <v>800</v>
      </c>
      <c r="C52" s="179">
        <f>160*C7</f>
        <v>1600</v>
      </c>
      <c r="D52" s="179">
        <f t="shared" ref="D52:F52" si="23">160*D7</f>
        <v>1600</v>
      </c>
      <c r="E52" s="179">
        <f t="shared" si="23"/>
        <v>1600</v>
      </c>
      <c r="F52" s="258">
        <f t="shared" si="23"/>
        <v>1600</v>
      </c>
      <c r="G52" s="278"/>
    </row>
    <row r="53" spans="1:7" s="1" customFormat="1" ht="20" customHeight="1" x14ac:dyDescent="0.15">
      <c r="A53" s="90" t="s">
        <v>131</v>
      </c>
      <c r="B53" s="190">
        <f>200*B7</f>
        <v>2000</v>
      </c>
      <c r="C53" s="191">
        <f t="shared" ref="C53:F53" si="24">200*C7</f>
        <v>2000</v>
      </c>
      <c r="D53" s="191">
        <f t="shared" si="24"/>
        <v>2000</v>
      </c>
      <c r="E53" s="191">
        <f t="shared" si="24"/>
        <v>2000</v>
      </c>
      <c r="F53" s="270">
        <f t="shared" si="24"/>
        <v>2000</v>
      </c>
      <c r="G53" s="278"/>
    </row>
    <row r="54" spans="1:7" s="1" customFormat="1" ht="21.25" customHeight="1" x14ac:dyDescent="0.15">
      <c r="A54" s="89" t="s">
        <v>4</v>
      </c>
      <c r="B54" s="192">
        <f>280*B7</f>
        <v>2800</v>
      </c>
      <c r="C54" s="179">
        <f t="shared" ref="C54:F54" si="25">280*C7</f>
        <v>2800</v>
      </c>
      <c r="D54" s="179">
        <f t="shared" si="25"/>
        <v>2800</v>
      </c>
      <c r="E54" s="179">
        <f t="shared" si="25"/>
        <v>2800</v>
      </c>
      <c r="F54" s="258">
        <f t="shared" si="25"/>
        <v>2800</v>
      </c>
      <c r="G54" s="278"/>
    </row>
    <row r="55" spans="1:7" s="1" customFormat="1" ht="21.25" customHeight="1" x14ac:dyDescent="0.15">
      <c r="A55" s="379" t="s">
        <v>149</v>
      </c>
      <c r="B55" s="380">
        <f>'App E. Insurance Detail'!B11*B7</f>
        <v>100</v>
      </c>
      <c r="C55" s="381">
        <f>'App E. Insurance Detail'!C11*C7</f>
        <v>1090</v>
      </c>
      <c r="D55" s="381">
        <f>'App E. Insurance Detail'!D11*D7</f>
        <v>1450</v>
      </c>
      <c r="E55" s="381">
        <f>'App E. Insurance Detail'!E11*E7</f>
        <v>1540</v>
      </c>
      <c r="F55" s="382">
        <f>'App E. Insurance Detail'!F11*F7</f>
        <v>1720</v>
      </c>
      <c r="G55" s="383">
        <f>SUM(B55:F55)</f>
        <v>5900</v>
      </c>
    </row>
    <row r="56" spans="1:7" s="1" customFormat="1" ht="21.25" customHeight="1" x14ac:dyDescent="0.15">
      <c r="A56" s="373" t="s">
        <v>248</v>
      </c>
      <c r="B56" s="367">
        <f>'App. F - Unanticipated Expenses'!D16</f>
        <v>0</v>
      </c>
      <c r="C56" s="370">
        <f>'App. F - Unanticipated Expenses'!G16</f>
        <v>0</v>
      </c>
      <c r="D56" s="376">
        <f>'App. F - Unanticipated Expenses'!J16</f>
        <v>0</v>
      </c>
      <c r="E56" s="370">
        <f>'App. F - Unanticipated Expenses'!M16</f>
        <v>0</v>
      </c>
      <c r="F56" s="377">
        <f>'App. F - Unanticipated Expenses'!P16</f>
        <v>0</v>
      </c>
      <c r="G56" s="378">
        <f>SUM(B56:F56)</f>
        <v>0</v>
      </c>
    </row>
    <row r="57" spans="1:7" s="1" customFormat="1" ht="21.25" customHeight="1" x14ac:dyDescent="0.15">
      <c r="A57" s="167" t="s">
        <v>5</v>
      </c>
      <c r="B57" s="194">
        <f>SUM(B51:B56)</f>
        <v>21700</v>
      </c>
      <c r="C57" s="194">
        <f t="shared" ref="C57:F57" si="26">SUM(C51:C56)</f>
        <v>15490</v>
      </c>
      <c r="D57" s="194">
        <f t="shared" si="26"/>
        <v>15850</v>
      </c>
      <c r="E57" s="194">
        <f t="shared" si="26"/>
        <v>15940</v>
      </c>
      <c r="F57" s="194">
        <f t="shared" si="26"/>
        <v>16120</v>
      </c>
      <c r="G57" s="280">
        <f>SUM(B57:F57)</f>
        <v>85100</v>
      </c>
    </row>
    <row r="58" spans="1:7" s="1" customFormat="1" ht="21.25" customHeight="1" x14ac:dyDescent="0.15">
      <c r="A58" s="85"/>
      <c r="B58" s="195"/>
      <c r="C58" s="179"/>
      <c r="D58" s="179"/>
      <c r="E58" s="179"/>
      <c r="F58" s="258"/>
      <c r="G58" s="278"/>
    </row>
    <row r="59" spans="1:7" s="1" customFormat="1" ht="24.25" customHeight="1" thickBot="1" x14ac:dyDescent="0.2">
      <c r="A59" s="92" t="s">
        <v>6</v>
      </c>
      <c r="B59" s="196">
        <f>B57+B47</f>
        <v>102890.07280709056</v>
      </c>
      <c r="C59" s="196">
        <f t="shared" ref="C59:F59" si="27">C57+C47</f>
        <v>162594.07280709056</v>
      </c>
      <c r="D59" s="196">
        <f t="shared" si="27"/>
        <v>174404.07280709056</v>
      </c>
      <c r="E59" s="196">
        <f t="shared" si="27"/>
        <v>177504.07280709056</v>
      </c>
      <c r="F59" s="196">
        <f t="shared" si="27"/>
        <v>183384.07280709056</v>
      </c>
      <c r="G59" s="302">
        <f>SUM(B59:F59)</f>
        <v>800776.36403545283</v>
      </c>
    </row>
    <row r="60" spans="1:7" s="1" customFormat="1" ht="21.25" customHeight="1" x14ac:dyDescent="0.15">
      <c r="A60" s="87"/>
      <c r="B60" s="221"/>
      <c r="C60" s="221"/>
      <c r="D60" s="221"/>
      <c r="E60" s="221"/>
      <c r="F60" s="272"/>
      <c r="G60" s="278"/>
    </row>
    <row r="61" spans="1:7" s="1" customFormat="1" ht="21.25" customHeight="1" x14ac:dyDescent="0.15">
      <c r="A61" s="94" t="s">
        <v>70</v>
      </c>
      <c r="B61" s="195"/>
      <c r="C61" s="179"/>
      <c r="D61" s="179"/>
      <c r="E61" s="179"/>
      <c r="F61" s="258"/>
      <c r="G61" s="278"/>
    </row>
    <row r="62" spans="1:7" s="1" customFormat="1" ht="22" customHeight="1" thickBot="1" x14ac:dyDescent="0.2">
      <c r="A62" s="32"/>
      <c r="B62" s="222"/>
      <c r="C62" s="223"/>
      <c r="D62" s="223"/>
      <c r="E62" s="223"/>
      <c r="F62" s="273"/>
      <c r="G62" s="278"/>
    </row>
    <row r="63" spans="1:7" s="1" customFormat="1" ht="22" customHeight="1" thickBot="1" x14ac:dyDescent="0.2">
      <c r="A63" s="96" t="s">
        <v>71</v>
      </c>
      <c r="B63" s="218">
        <f>B9-B59</f>
        <v>-102890.07280709056</v>
      </c>
      <c r="C63" s="218">
        <f>C9-C59</f>
        <v>-52594.072807090561</v>
      </c>
      <c r="D63" s="218">
        <f>D9-D59</f>
        <v>-24404.072807090561</v>
      </c>
      <c r="E63" s="218">
        <f>E9-E59</f>
        <v>-17504.072807090561</v>
      </c>
      <c r="F63" s="274">
        <f>F9-F59</f>
        <v>-3384.0728070905607</v>
      </c>
      <c r="G63" s="289">
        <f>SUM(B63:F63)</f>
        <v>-200776.3640354528</v>
      </c>
    </row>
    <row r="64" spans="1:7" s="1" customFormat="1" ht="21.25" customHeight="1" x14ac:dyDescent="0.15"/>
    <row r="65" spans="1:256" s="1" customFormat="1" ht="21.25" customHeight="1" x14ac:dyDescent="0.15"/>
    <row r="66" spans="1:256" s="1" customFormat="1" ht="21.25" customHeight="1" x14ac:dyDescent="0.15">
      <c r="A66" s="119" t="s">
        <v>169</v>
      </c>
      <c r="B66" s="391" t="s">
        <v>133</v>
      </c>
      <c r="C66" s="391"/>
      <c r="D66" s="391"/>
      <c r="E66" s="391"/>
      <c r="F66" s="391"/>
      <c r="G66" s="391"/>
    </row>
    <row r="67" spans="1:256" s="1" customFormat="1" ht="21.25" customHeight="1" x14ac:dyDescent="0.15">
      <c r="A67" s="115" t="s">
        <v>132</v>
      </c>
      <c r="B67" s="120">
        <v>6</v>
      </c>
      <c r="C67" s="120">
        <v>8</v>
      </c>
      <c r="D67" s="120">
        <v>10</v>
      </c>
      <c r="E67" s="120">
        <v>12</v>
      </c>
      <c r="F67" s="120">
        <v>14</v>
      </c>
      <c r="G67" s="116"/>
    </row>
    <row r="68" spans="1:256" s="1" customFormat="1" ht="24.25" customHeight="1" x14ac:dyDescent="0.15">
      <c r="A68" s="117">
        <v>800</v>
      </c>
      <c r="B68" s="318">
        <f>(B67*A68)-(F59/F7)</f>
        <v>-13538.407280709056</v>
      </c>
      <c r="C68" s="318">
        <f>(C67*A68)-(F59/F7)</f>
        <v>-11938.407280709056</v>
      </c>
      <c r="D68" s="318">
        <f>(D67*A68)-(F59/F7)</f>
        <v>-10338.407280709056</v>
      </c>
      <c r="E68" s="318">
        <f>(E67*A68)-(F59/F7)</f>
        <v>-8738.4072807090561</v>
      </c>
      <c r="F68" s="318">
        <f>(F67*A68)-(F59/F7)</f>
        <v>-7138.4072807090561</v>
      </c>
      <c r="G68" s="118"/>
    </row>
    <row r="69" spans="1:256" s="1" customFormat="1" ht="26" customHeight="1" x14ac:dyDescent="0.15">
      <c r="A69" s="117">
        <v>1000</v>
      </c>
      <c r="B69" s="318">
        <f>(B67*A69)-(F59/F7)</f>
        <v>-12338.407280709056</v>
      </c>
      <c r="C69" s="318">
        <f>(C67*A69)-(F59/F7)</f>
        <v>-10338.407280709056</v>
      </c>
      <c r="D69" s="318">
        <f>(D67*A69)-(F59/F7)</f>
        <v>-8338.4072807090561</v>
      </c>
      <c r="E69" s="318">
        <f>(E67*A69)-(F59/F7)</f>
        <v>-6338.4072807090561</v>
      </c>
      <c r="F69" s="318">
        <f>(F67*A69)-(F59/F7)</f>
        <v>-4338.4072807090561</v>
      </c>
      <c r="G69" s="118"/>
    </row>
    <row r="70" spans="1:256" s="1" customFormat="1" ht="21.25" customHeight="1" x14ac:dyDescent="0.15">
      <c r="A70" s="117">
        <v>1200</v>
      </c>
      <c r="B70" s="318">
        <f>(B67*A70)-(F59/F7)</f>
        <v>-11138.407280709056</v>
      </c>
      <c r="C70" s="318">
        <f>(C67*A70)-(F59/F7)</f>
        <v>-8738.4072807090561</v>
      </c>
      <c r="D70" s="318">
        <f>(D67*A70)-(F59/F7)</f>
        <v>-6338.4072807090561</v>
      </c>
      <c r="E70" s="318">
        <f>(E67*A70)-(F59/F7)</f>
        <v>-3938.4072807090561</v>
      </c>
      <c r="F70" s="319">
        <f>(F67*A70)-(F59/F7)</f>
        <v>-1538.4072807090561</v>
      </c>
      <c r="G70" s="118"/>
    </row>
    <row r="71" spans="1:256" s="1" customFormat="1" ht="21.25" customHeight="1" x14ac:dyDescent="0.15">
      <c r="A71" s="117">
        <v>1400</v>
      </c>
      <c r="B71" s="318">
        <f>(B67*A71)-(F59/F7)</f>
        <v>-9938.4072807090561</v>
      </c>
      <c r="C71" s="318">
        <f>(C67*A71)-(F59/F7)</f>
        <v>-7138.4072807090561</v>
      </c>
      <c r="D71" s="318">
        <f>(D67*A71)-(F59/F7)</f>
        <v>-4338.4072807090561</v>
      </c>
      <c r="E71" s="319">
        <f>(E67*A71)-(F59/F7)</f>
        <v>-1538.4072807090561</v>
      </c>
      <c r="F71" s="319">
        <f>(F67*A71)-(F59/F7)</f>
        <v>1261.5927192909439</v>
      </c>
      <c r="G71" s="118"/>
    </row>
    <row r="72" spans="1:256" ht="18" customHeight="1" x14ac:dyDescent="0.15">
      <c r="A72" s="117">
        <v>1600</v>
      </c>
      <c r="B72" s="318">
        <f>(B67*A72)-(F59/F7)</f>
        <v>-8738.4072807090561</v>
      </c>
      <c r="C72" s="318">
        <f>(C67*A72)-(F59/F7)</f>
        <v>-5538.4072807090561</v>
      </c>
      <c r="D72" s="318">
        <f>(D67*A72)-(F59/F7)</f>
        <v>-2338.4072807090561</v>
      </c>
      <c r="E72" s="319">
        <f>(E67*A72)-(F59/F7)</f>
        <v>861.59271929094393</v>
      </c>
      <c r="F72" s="319">
        <f>(F67*A72)-(F59/F7)</f>
        <v>4061.5927192909439</v>
      </c>
      <c r="G72" s="118"/>
    </row>
    <row r="73" spans="1:256" ht="24" customHeight="1" x14ac:dyDescent="0.15">
      <c r="A73" s="117">
        <v>1800</v>
      </c>
      <c r="B73" s="318">
        <f>(B67*A73)-(F59/F7)</f>
        <v>-7538.4072807090561</v>
      </c>
      <c r="C73" s="318">
        <f>(C67*A73)-(F59/F7)</f>
        <v>-3938.4072807090561</v>
      </c>
      <c r="D73" s="319">
        <f>(D67*A73)-(F59/F7)</f>
        <v>-338.40728070905607</v>
      </c>
      <c r="E73" s="319">
        <f>(E67*A73)-(F59/F7)</f>
        <v>3261.5927192909439</v>
      </c>
      <c r="F73" s="319">
        <f>(F67*A73)-(F59/F7)</f>
        <v>6861.5927192909439</v>
      </c>
      <c r="G73" s="118"/>
    </row>
    <row r="74" spans="1:256" ht="21.25" customHeight="1" x14ac:dyDescent="0.15">
      <c r="A74" s="117">
        <v>2000</v>
      </c>
      <c r="B74" s="318">
        <f>(B67*A74)-(F59/F7)</f>
        <v>-6338.4072807090561</v>
      </c>
      <c r="C74" s="318">
        <f>(C67*A74)-(F59/F7)</f>
        <v>-2338.4072807090561</v>
      </c>
      <c r="D74" s="319">
        <f>(D67*A74)-(F59/F7)</f>
        <v>1661.5927192909439</v>
      </c>
      <c r="E74" s="319">
        <f>(E67*A74)-(F59/F7)</f>
        <v>5661.5927192909439</v>
      </c>
      <c r="F74" s="319">
        <f>(F67*A74)-(F59/F7)</f>
        <v>9661.5927192909439</v>
      </c>
      <c r="G74" s="118"/>
    </row>
    <row r="75" spans="1:256" ht="21.25" customHeight="1" x14ac:dyDescent="0.15">
      <c r="A75" s="117">
        <v>2200</v>
      </c>
      <c r="B75" s="318">
        <f>(B67*A75)-(F59/F7)</f>
        <v>-5138.4072807090561</v>
      </c>
      <c r="C75" s="319">
        <f>(C67*A75)-(F59/F7)</f>
        <v>-738.40728070905607</v>
      </c>
      <c r="D75" s="319">
        <f>(D67*A75)-(F59/F7)</f>
        <v>3661.5927192909439</v>
      </c>
      <c r="E75" s="319">
        <f>(E67*A75)-(F59/F7)</f>
        <v>8061.5927192909439</v>
      </c>
      <c r="F75" s="319">
        <f>(F67*A75)-(F59/F7)</f>
        <v>12461.592719290944</v>
      </c>
      <c r="G75" s="118"/>
    </row>
    <row r="76" spans="1:256" ht="66" customHeight="1" x14ac:dyDescent="0.15">
      <c r="A76" s="390" t="s">
        <v>154</v>
      </c>
      <c r="B76" s="390"/>
      <c r="C76" s="390"/>
      <c r="D76" s="390"/>
      <c r="E76" s="390"/>
      <c r="F76" s="390"/>
      <c r="G76" s="161">
        <f>'App. A -Bld Out Infrastructure'!D47+'App. B -Buildout Labor'!F21</f>
        <v>18005.1944</v>
      </c>
      <c r="IP76" s="2"/>
      <c r="IQ76" s="2"/>
      <c r="IR76" s="2"/>
      <c r="IS76" s="2"/>
      <c r="IT76" s="2"/>
      <c r="IU76" s="2"/>
      <c r="IV76" s="2"/>
    </row>
    <row r="77" spans="1:256" ht="24" customHeight="1" x14ac:dyDescent="0.15"/>
    <row r="78" spans="1:256" ht="23" customHeight="1" x14ac:dyDescent="0.15"/>
    <row r="79" spans="1:256" ht="24" customHeight="1" x14ac:dyDescent="0.15"/>
    <row r="80" spans="1:256" ht="24" customHeight="1" x14ac:dyDescent="0.15"/>
    <row r="81" ht="25" customHeight="1" x14ac:dyDescent="0.15"/>
    <row r="82" ht="25" customHeight="1" x14ac:dyDescent="0.15"/>
    <row r="83" ht="21.25" customHeight="1" x14ac:dyDescent="0.15"/>
    <row r="84" ht="21.25" customHeight="1" x14ac:dyDescent="0.15"/>
    <row r="85" ht="25.25" customHeight="1" x14ac:dyDescent="0.15"/>
    <row r="86" ht="25.25" customHeight="1" x14ac:dyDescent="0.15"/>
    <row r="87" ht="30.25" customHeight="1" x14ac:dyDescent="0.15"/>
    <row r="88" s="1" customFormat="1" ht="21.25" customHeight="1" x14ac:dyDescent="0.15"/>
    <row r="89" s="1" customFormat="1" ht="23" customHeight="1" x14ac:dyDescent="0.15"/>
    <row r="90" s="1" customFormat="1" ht="21.25" customHeight="1" x14ac:dyDescent="0.15"/>
  </sheetData>
  <mergeCells count="6">
    <mergeCell ref="I1:L3"/>
    <mergeCell ref="A1:G1"/>
    <mergeCell ref="A3:G3"/>
    <mergeCell ref="A2:G2"/>
    <mergeCell ref="A76:F76"/>
    <mergeCell ref="B66:G66"/>
  </mergeCells>
  <phoneticPr fontId="1" type="noConversion"/>
  <conditionalFormatting sqref="B68:F75">
    <cfRule type="colorScale" priority="1">
      <colorScale>
        <cfvo type="num" val="0"/>
        <cfvo type="num" val="1"/>
        <color theme="0"/>
        <color theme="5" tint="0.59999389629810485"/>
      </colorScale>
    </cfRule>
  </conditionalFormatting>
  <pageMargins left="0.25" right="0.25" top="0.5" bottom="0.5" header="0.28000000000000003" footer="0.28000000000000003"/>
  <pageSetup scale="40" orientation="portrait"/>
  <headerFooter>
    <oddFooter>&amp;C&amp;"Helvetica,Regular"&amp;12&amp;K000000&amp;P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55"/>
  <sheetViews>
    <sheetView showGridLines="0" topLeftCell="A13" zoomScale="80" zoomScaleNormal="80" zoomScalePageLayoutView="80" workbookViewId="0">
      <selection activeCell="A47" sqref="A47"/>
    </sheetView>
  </sheetViews>
  <sheetFormatPr baseColWidth="10" defaultColWidth="12" defaultRowHeight="18" customHeight="1" x14ac:dyDescent="0.15"/>
  <cols>
    <col min="1" max="1" width="62" style="1" customWidth="1"/>
    <col min="2" max="2" width="8.1640625" style="1" customWidth="1"/>
    <col min="3" max="3" width="18.5" style="1" customWidth="1"/>
    <col min="4" max="4" width="20" style="1" customWidth="1"/>
    <col min="5" max="5" width="35.5" style="1" customWidth="1"/>
    <col min="6" max="256" width="12" style="1" customWidth="1"/>
    <col min="257" max="16384" width="12" style="2"/>
  </cols>
  <sheetData>
    <row r="1" spans="1:5" ht="28" customHeight="1" x14ac:dyDescent="0.15">
      <c r="A1" s="398" t="s">
        <v>110</v>
      </c>
      <c r="B1" s="398"/>
      <c r="C1" s="398"/>
      <c r="D1" s="398"/>
      <c r="E1" s="398"/>
    </row>
    <row r="2" spans="1:5" ht="20.5" customHeight="1" x14ac:dyDescent="0.15">
      <c r="A2" s="105" t="s">
        <v>0</v>
      </c>
      <c r="B2" s="105" t="s">
        <v>7</v>
      </c>
      <c r="C2" s="106" t="s">
        <v>8</v>
      </c>
      <c r="D2" s="106" t="s">
        <v>9</v>
      </c>
      <c r="E2" s="105" t="s">
        <v>10</v>
      </c>
    </row>
    <row r="3" spans="1:5" ht="20.5" customHeight="1" x14ac:dyDescent="0.15">
      <c r="A3" s="100"/>
      <c r="B3" s="61"/>
      <c r="C3" s="62"/>
      <c r="D3" s="62"/>
      <c r="E3" s="63"/>
    </row>
    <row r="4" spans="1:5" ht="20.5" customHeight="1" x14ac:dyDescent="0.15">
      <c r="A4" s="101" t="s">
        <v>105</v>
      </c>
      <c r="B4" s="9"/>
      <c r="C4" s="10"/>
      <c r="D4" s="10"/>
      <c r="E4" s="3"/>
    </row>
    <row r="5" spans="1:5" ht="20.25" customHeight="1" x14ac:dyDescent="0.15">
      <c r="A5" s="107" t="s">
        <v>11</v>
      </c>
      <c r="B5" s="11">
        <v>245</v>
      </c>
      <c r="C5" s="5">
        <v>45</v>
      </c>
      <c r="D5" s="5">
        <f t="shared" ref="D5:D16" si="0">B5*C5</f>
        <v>11025</v>
      </c>
      <c r="E5" s="12" t="s">
        <v>12</v>
      </c>
    </row>
    <row r="6" spans="1:5" ht="20.25" customHeight="1" x14ac:dyDescent="0.15">
      <c r="A6" s="107" t="s">
        <v>57</v>
      </c>
      <c r="B6" s="11">
        <v>120</v>
      </c>
      <c r="C6" s="5">
        <v>68</v>
      </c>
      <c r="D6" s="5">
        <f t="shared" si="0"/>
        <v>8160</v>
      </c>
      <c r="E6" s="12" t="s">
        <v>58</v>
      </c>
    </row>
    <row r="7" spans="1:5" ht="20.25" customHeight="1" x14ac:dyDescent="0.15">
      <c r="A7" s="107" t="s">
        <v>142</v>
      </c>
      <c r="B7" s="11">
        <v>3</v>
      </c>
      <c r="C7" s="5">
        <v>800</v>
      </c>
      <c r="D7" s="5">
        <v>2400</v>
      </c>
      <c r="E7" s="12"/>
    </row>
    <row r="8" spans="1:5" ht="20.25" customHeight="1" x14ac:dyDescent="0.15">
      <c r="A8" s="107" t="s">
        <v>144</v>
      </c>
      <c r="B8" s="11">
        <v>3</v>
      </c>
      <c r="C8" s="5">
        <v>1250</v>
      </c>
      <c r="D8" s="5">
        <f t="shared" si="0"/>
        <v>3750</v>
      </c>
      <c r="E8" s="12" t="s">
        <v>13</v>
      </c>
    </row>
    <row r="9" spans="1:5" ht="20.25" customHeight="1" x14ac:dyDescent="0.15">
      <c r="A9" s="107" t="s">
        <v>145</v>
      </c>
      <c r="B9" s="11">
        <v>6</v>
      </c>
      <c r="C9" s="5">
        <v>850</v>
      </c>
      <c r="D9" s="5">
        <f t="shared" si="0"/>
        <v>5100</v>
      </c>
      <c r="E9" s="12" t="s">
        <v>13</v>
      </c>
    </row>
    <row r="10" spans="1:5" ht="20.25" customHeight="1" x14ac:dyDescent="0.15">
      <c r="A10" s="107" t="s">
        <v>14</v>
      </c>
      <c r="B10" s="11">
        <f>340*4</f>
        <v>1360</v>
      </c>
      <c r="C10" s="5">
        <v>0.37</v>
      </c>
      <c r="D10" s="5">
        <f t="shared" si="0"/>
        <v>503.2</v>
      </c>
      <c r="E10" s="12" t="s">
        <v>15</v>
      </c>
    </row>
    <row r="11" spans="1:5" ht="20.25" customHeight="1" x14ac:dyDescent="0.15">
      <c r="A11" s="107" t="s">
        <v>16</v>
      </c>
      <c r="B11" s="11">
        <v>400</v>
      </c>
      <c r="C11" s="5">
        <v>0.33</v>
      </c>
      <c r="D11" s="5">
        <f t="shared" si="0"/>
        <v>132</v>
      </c>
      <c r="E11" s="12" t="s">
        <v>15</v>
      </c>
    </row>
    <row r="12" spans="1:5" ht="20.25" customHeight="1" x14ac:dyDescent="0.15">
      <c r="A12" s="107" t="s">
        <v>17</v>
      </c>
      <c r="B12" s="11">
        <v>8</v>
      </c>
      <c r="C12" s="5">
        <v>20</v>
      </c>
      <c r="D12" s="5">
        <f t="shared" si="0"/>
        <v>160</v>
      </c>
      <c r="E12" s="4"/>
    </row>
    <row r="13" spans="1:5" ht="20.25" customHeight="1" x14ac:dyDescent="0.15">
      <c r="A13" s="107" t="s">
        <v>18</v>
      </c>
      <c r="B13" s="11">
        <v>4</v>
      </c>
      <c r="C13" s="5">
        <v>105</v>
      </c>
      <c r="D13" s="5">
        <f t="shared" si="0"/>
        <v>420</v>
      </c>
      <c r="E13" s="4"/>
    </row>
    <row r="14" spans="1:5" ht="20.25" customHeight="1" x14ac:dyDescent="0.15">
      <c r="A14" s="107" t="s">
        <v>19</v>
      </c>
      <c r="B14" s="11">
        <v>4</v>
      </c>
      <c r="C14" s="5">
        <v>50</v>
      </c>
      <c r="D14" s="5">
        <f t="shared" si="0"/>
        <v>200</v>
      </c>
      <c r="E14" s="4"/>
    </row>
    <row r="15" spans="1:5" ht="20.25" customHeight="1" x14ac:dyDescent="0.15">
      <c r="A15" s="107" t="s">
        <v>143</v>
      </c>
      <c r="B15" s="11">
        <v>184</v>
      </c>
      <c r="C15" s="5">
        <v>11</v>
      </c>
      <c r="D15" s="5">
        <f t="shared" si="0"/>
        <v>2024</v>
      </c>
      <c r="E15" s="4" t="s">
        <v>115</v>
      </c>
    </row>
    <row r="16" spans="1:5" ht="20.25" customHeight="1" thickBot="1" x14ac:dyDescent="0.2">
      <c r="A16" s="107" t="s">
        <v>20</v>
      </c>
      <c r="B16" s="35">
        <v>10</v>
      </c>
      <c r="C16" s="21">
        <v>110</v>
      </c>
      <c r="D16" s="21">
        <f t="shared" si="0"/>
        <v>1100</v>
      </c>
      <c r="E16" s="4"/>
    </row>
    <row r="17" spans="1:5" ht="21.25" customHeight="1" x14ac:dyDescent="0.15">
      <c r="A17" s="103"/>
      <c r="B17" s="404" t="s">
        <v>21</v>
      </c>
      <c r="C17" s="405"/>
      <c r="D17" s="34">
        <f>SUM(D5:D16)</f>
        <v>34974.199999999997</v>
      </c>
      <c r="E17" s="24"/>
    </row>
    <row r="18" spans="1:5" ht="21.25" customHeight="1" x14ac:dyDescent="0.15">
      <c r="A18" s="103"/>
      <c r="B18" s="57"/>
      <c r="C18" s="58"/>
      <c r="D18" s="34"/>
      <c r="E18" s="24"/>
    </row>
    <row r="19" spans="1:5" ht="21.25" customHeight="1" x14ac:dyDescent="0.15">
      <c r="A19" s="104" t="s">
        <v>56</v>
      </c>
      <c r="B19" s="13"/>
      <c r="C19" s="5"/>
      <c r="D19" s="5"/>
      <c r="E19" s="14"/>
    </row>
    <row r="20" spans="1:5" ht="21.25" customHeight="1" x14ac:dyDescent="0.15">
      <c r="A20" s="107" t="s">
        <v>22</v>
      </c>
      <c r="B20" s="11">
        <v>12</v>
      </c>
      <c r="C20" s="5">
        <v>110</v>
      </c>
      <c r="D20" s="5">
        <f t="shared" ref="D20:D30" si="1">B20*C20</f>
        <v>1320</v>
      </c>
      <c r="E20" s="15" t="s">
        <v>23</v>
      </c>
    </row>
    <row r="21" spans="1:5" ht="21.25" customHeight="1" x14ac:dyDescent="0.15">
      <c r="A21" s="107" t="s">
        <v>24</v>
      </c>
      <c r="B21" s="11">
        <v>4</v>
      </c>
      <c r="C21" s="5">
        <v>50</v>
      </c>
      <c r="D21" s="5">
        <f t="shared" si="1"/>
        <v>200</v>
      </c>
      <c r="E21" s="16"/>
    </row>
    <row r="22" spans="1:5" ht="21.25" customHeight="1" x14ac:dyDescent="0.15">
      <c r="A22" s="107" t="s">
        <v>25</v>
      </c>
      <c r="B22" s="11">
        <v>4</v>
      </c>
      <c r="C22" s="5">
        <v>30</v>
      </c>
      <c r="D22" s="5">
        <f t="shared" si="1"/>
        <v>120</v>
      </c>
      <c r="E22" s="15"/>
    </row>
    <row r="23" spans="1:5" ht="21.25" customHeight="1" x14ac:dyDescent="0.15">
      <c r="A23" s="107" t="s">
        <v>26</v>
      </c>
      <c r="B23" s="11">
        <v>40</v>
      </c>
      <c r="C23" s="5">
        <v>16.989999999999998</v>
      </c>
      <c r="D23" s="5">
        <f t="shared" si="1"/>
        <v>679.59999999999991</v>
      </c>
      <c r="E23" s="15" t="s">
        <v>27</v>
      </c>
    </row>
    <row r="24" spans="1:5" ht="21.25" customHeight="1" x14ac:dyDescent="0.15">
      <c r="A24" s="107" t="s">
        <v>28</v>
      </c>
      <c r="B24" s="17">
        <v>1</v>
      </c>
      <c r="C24" s="5">
        <v>247</v>
      </c>
      <c r="D24" s="5">
        <f t="shared" si="1"/>
        <v>247</v>
      </c>
      <c r="E24" s="15" t="s">
        <v>29</v>
      </c>
    </row>
    <row r="25" spans="1:5" ht="20.25" customHeight="1" x14ac:dyDescent="0.15">
      <c r="A25" s="107" t="s">
        <v>30</v>
      </c>
      <c r="B25" s="17">
        <v>1</v>
      </c>
      <c r="C25" s="5">
        <v>18.8</v>
      </c>
      <c r="D25" s="5">
        <f t="shared" si="1"/>
        <v>18.8</v>
      </c>
      <c r="E25" s="15" t="s">
        <v>31</v>
      </c>
    </row>
    <row r="26" spans="1:5" ht="20.25" customHeight="1" x14ac:dyDescent="0.15">
      <c r="A26" s="107" t="s">
        <v>32</v>
      </c>
      <c r="B26" s="11">
        <v>4</v>
      </c>
      <c r="C26" s="5">
        <v>300</v>
      </c>
      <c r="D26" s="5">
        <f t="shared" si="1"/>
        <v>1200</v>
      </c>
      <c r="E26" s="15" t="s">
        <v>33</v>
      </c>
    </row>
    <row r="27" spans="1:5" ht="19" customHeight="1" x14ac:dyDescent="0.15">
      <c r="A27" s="107" t="s">
        <v>34</v>
      </c>
      <c r="B27" s="11">
        <v>80</v>
      </c>
      <c r="C27" s="5">
        <v>0.9</v>
      </c>
      <c r="D27" s="5">
        <f t="shared" si="1"/>
        <v>72</v>
      </c>
      <c r="E27" s="15" t="s">
        <v>35</v>
      </c>
    </row>
    <row r="28" spans="1:5" ht="20.25" customHeight="1" x14ac:dyDescent="0.15">
      <c r="A28" s="107" t="s">
        <v>36</v>
      </c>
      <c r="B28" s="11">
        <v>80</v>
      </c>
      <c r="C28" s="19">
        <v>0.68</v>
      </c>
      <c r="D28" s="5">
        <f t="shared" si="1"/>
        <v>54.400000000000006</v>
      </c>
      <c r="E28" s="28" t="s">
        <v>37</v>
      </c>
    </row>
    <row r="29" spans="1:5" ht="20.25" customHeight="1" x14ac:dyDescent="0.15">
      <c r="A29" s="107" t="s">
        <v>38</v>
      </c>
      <c r="B29" s="132">
        <v>80</v>
      </c>
      <c r="C29" s="45">
        <v>0.18</v>
      </c>
      <c r="D29" s="46">
        <f t="shared" si="1"/>
        <v>14.399999999999999</v>
      </c>
      <c r="E29" s="28" t="s">
        <v>39</v>
      </c>
    </row>
    <row r="30" spans="1:5" ht="20.25" customHeight="1" x14ac:dyDescent="0.15">
      <c r="A30" s="151" t="s">
        <v>146</v>
      </c>
      <c r="B30" s="152">
        <v>1</v>
      </c>
      <c r="C30" s="153">
        <v>3500</v>
      </c>
      <c r="D30" s="153">
        <f t="shared" si="1"/>
        <v>3500</v>
      </c>
      <c r="E30" s="28"/>
    </row>
    <row r="31" spans="1:5" ht="20.25" customHeight="1" x14ac:dyDescent="0.15">
      <c r="A31" s="155" t="s">
        <v>117</v>
      </c>
      <c r="B31" s="308">
        <v>1</v>
      </c>
      <c r="C31" s="309" t="s">
        <v>67</v>
      </c>
      <c r="D31" s="310"/>
      <c r="E31" s="147"/>
    </row>
    <row r="32" spans="1:5" ht="20.25" customHeight="1" thickBot="1" x14ac:dyDescent="0.2">
      <c r="A32" s="154" t="s">
        <v>153</v>
      </c>
      <c r="B32" s="47"/>
      <c r="C32" s="148" t="s">
        <v>152</v>
      </c>
      <c r="D32" s="36">
        <f>SUM(D20:D30)*0.06</f>
        <v>445.572</v>
      </c>
      <c r="E32" s="149"/>
    </row>
    <row r="33" spans="1:256" ht="20.25" customHeight="1" x14ac:dyDescent="0.15">
      <c r="A33" s="103"/>
      <c r="B33" s="402" t="s">
        <v>21</v>
      </c>
      <c r="C33" s="403"/>
      <c r="D33" s="25">
        <f>SUM(D20:D32)</f>
        <v>7871.7720000000008</v>
      </c>
      <c r="E33" s="4"/>
      <c r="G33" s="131"/>
    </row>
    <row r="34" spans="1:256" ht="20.25" customHeight="1" x14ac:dyDescent="0.15">
      <c r="A34" s="103"/>
      <c r="B34" s="59"/>
      <c r="C34" s="60"/>
      <c r="D34" s="25"/>
      <c r="E34" s="4"/>
      <c r="G34" s="131"/>
    </row>
    <row r="35" spans="1:256" ht="20.25" customHeight="1" x14ac:dyDescent="0.15">
      <c r="A35" s="104" t="s">
        <v>103</v>
      </c>
      <c r="B35" s="13"/>
      <c r="C35" s="5"/>
      <c r="D35" s="6"/>
      <c r="E35" s="4"/>
    </row>
    <row r="36" spans="1:256" ht="20.25" customHeight="1" x14ac:dyDescent="0.15">
      <c r="A36" s="107" t="s">
        <v>40</v>
      </c>
      <c r="B36" s="11">
        <v>1</v>
      </c>
      <c r="C36" s="5">
        <v>1600</v>
      </c>
      <c r="D36" s="5">
        <f>B36*C36</f>
        <v>1600</v>
      </c>
      <c r="E36" s="4"/>
    </row>
    <row r="37" spans="1:256" ht="20.25" customHeight="1" x14ac:dyDescent="0.15">
      <c r="A37" s="107" t="s">
        <v>41</v>
      </c>
      <c r="B37" s="11">
        <v>2</v>
      </c>
      <c r="C37" s="5">
        <v>1000</v>
      </c>
      <c r="D37" s="5">
        <f>B37*C37</f>
        <v>2000</v>
      </c>
      <c r="E37" s="4"/>
    </row>
    <row r="38" spans="1:256" ht="21.25" customHeight="1" x14ac:dyDescent="0.15">
      <c r="A38" s="107" t="s">
        <v>60</v>
      </c>
      <c r="B38" s="11">
        <v>1</v>
      </c>
      <c r="C38" s="5">
        <v>600</v>
      </c>
      <c r="D38" s="46">
        <f>B38*C38</f>
        <v>600</v>
      </c>
      <c r="E38" s="4" t="s">
        <v>61</v>
      </c>
    </row>
    <row r="39" spans="1:256" ht="24" customHeight="1" x14ac:dyDescent="0.15">
      <c r="A39" s="107" t="s">
        <v>59</v>
      </c>
      <c r="B39" s="11">
        <v>1</v>
      </c>
      <c r="C39" s="19" t="s">
        <v>114</v>
      </c>
      <c r="D39" s="49">
        <v>2500</v>
      </c>
      <c r="E39" s="20" t="s">
        <v>100</v>
      </c>
    </row>
    <row r="40" spans="1:256" ht="20.25" customHeight="1" thickBot="1" x14ac:dyDescent="0.2">
      <c r="A40" s="150" t="s">
        <v>65</v>
      </c>
      <c r="B40" s="311">
        <v>1</v>
      </c>
      <c r="C40" s="313" t="s">
        <v>67</v>
      </c>
      <c r="D40" s="312"/>
      <c r="E40" s="156"/>
    </row>
    <row r="41" spans="1:256" ht="20.25" customHeight="1" x14ac:dyDescent="0.15">
      <c r="A41" s="102"/>
      <c r="B41" s="400" t="s">
        <v>21</v>
      </c>
      <c r="C41" s="401"/>
      <c r="D41" s="25">
        <f>SUM(D36:D40)</f>
        <v>6700</v>
      </c>
      <c r="E41" s="4"/>
    </row>
    <row r="42" spans="1:256" ht="20.25" customHeight="1" x14ac:dyDescent="0.15">
      <c r="A42" s="102"/>
      <c r="B42" s="11"/>
      <c r="C42" s="5"/>
      <c r="D42" s="6"/>
      <c r="E42" s="4"/>
    </row>
    <row r="43" spans="1:256" ht="20.25" customHeight="1" thickBot="1" x14ac:dyDescent="0.2">
      <c r="A43" s="104" t="s">
        <v>104</v>
      </c>
      <c r="B43" s="35">
        <v>4800</v>
      </c>
      <c r="C43" s="21">
        <v>3.25</v>
      </c>
      <c r="D43" s="37">
        <f>B43*C43</f>
        <v>15600</v>
      </c>
      <c r="E43" s="4"/>
    </row>
    <row r="44" spans="1:256" ht="20.25" customHeight="1" x14ac:dyDescent="0.15">
      <c r="A44" s="51"/>
      <c r="B44" s="406" t="s">
        <v>21</v>
      </c>
      <c r="C44" s="407"/>
      <c r="D44" s="52">
        <f>D43</f>
        <v>15600</v>
      </c>
      <c r="E44" s="4"/>
    </row>
    <row r="45" spans="1:256" ht="20.25" customHeight="1" thickBot="1" x14ac:dyDescent="0.2">
      <c r="A45" s="50"/>
      <c r="B45" s="53"/>
      <c r="C45" s="54"/>
      <c r="D45" s="55"/>
      <c r="E45" s="4"/>
    </row>
    <row r="46" spans="1:256" ht="27" customHeight="1" thickBot="1" x14ac:dyDescent="0.2">
      <c r="A46" s="56" t="s">
        <v>243</v>
      </c>
      <c r="B46" s="399"/>
      <c r="C46" s="399"/>
      <c r="D46" s="160">
        <f>SUM(D41,D33,D17,D44)</f>
        <v>65145.971999999994</v>
      </c>
      <c r="E46" s="4"/>
    </row>
    <row r="47" spans="1:256" ht="32" customHeight="1" x14ac:dyDescent="0.15">
      <c r="A47" s="157" t="s">
        <v>241</v>
      </c>
      <c r="B47" s="320"/>
      <c r="C47" s="320"/>
      <c r="D47" s="158">
        <f>(D46)/5</f>
        <v>13029.194399999998</v>
      </c>
      <c r="IR47" s="2"/>
      <c r="IS47" s="2"/>
      <c r="IT47" s="2"/>
      <c r="IU47" s="2"/>
      <c r="IV47" s="2"/>
    </row>
    <row r="48" spans="1:256" ht="25" customHeight="1" x14ac:dyDescent="0.15">
      <c r="A48" s="320" t="s">
        <v>242</v>
      </c>
      <c r="B48" s="320"/>
      <c r="C48" s="320"/>
      <c r="D48" s="321">
        <f>D47*10</f>
        <v>130291.94399999999</v>
      </c>
      <c r="IR48" s="2"/>
      <c r="IS48" s="2"/>
      <c r="IT48" s="2"/>
      <c r="IU48" s="2"/>
      <c r="IV48" s="2"/>
    </row>
    <row r="49" spans="252:256" ht="25" customHeight="1" x14ac:dyDescent="0.15">
      <c r="IR49" s="2"/>
      <c r="IS49" s="2"/>
      <c r="IT49" s="2"/>
      <c r="IU49" s="2"/>
      <c r="IV49" s="2"/>
    </row>
    <row r="50" spans="252:256" ht="20.25" customHeight="1" x14ac:dyDescent="0.15"/>
    <row r="51" spans="252:256" ht="20.25" customHeight="1" x14ac:dyDescent="0.15"/>
    <row r="52" spans="252:256" ht="20.25" customHeight="1" x14ac:dyDescent="0.15"/>
    <row r="53" spans="252:256" ht="20.25" customHeight="1" x14ac:dyDescent="0.15"/>
    <row r="54" spans="252:256" ht="20.25" customHeight="1" x14ac:dyDescent="0.15"/>
    <row r="55" spans="252:256" ht="20.25" customHeight="1" x14ac:dyDescent="0.15"/>
  </sheetData>
  <mergeCells count="6">
    <mergeCell ref="A1:E1"/>
    <mergeCell ref="B46:C46"/>
    <mergeCell ref="B41:C41"/>
    <mergeCell ref="B33:C33"/>
    <mergeCell ref="B17:C17"/>
    <mergeCell ref="B44:C44"/>
  </mergeCells>
  <phoneticPr fontId="1" type="noConversion"/>
  <pageMargins left="0.5" right="0.5" top="0.75" bottom="0.75" header="0.28000000000000003" footer="0.28000000000000003"/>
  <pageSetup scale="62" orientation="portrait"/>
  <headerFooter>
    <oddFooter>&amp;C&amp;"Helvetica,Regular"&amp;12&amp;K000000&amp;P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V22"/>
  <sheetViews>
    <sheetView showGridLines="0" workbookViewId="0">
      <selection activeCell="C23" sqref="C23"/>
    </sheetView>
  </sheetViews>
  <sheetFormatPr baseColWidth="10" defaultColWidth="16.33203125" defaultRowHeight="18" customHeight="1" x14ac:dyDescent="0.15"/>
  <cols>
    <col min="1" max="1" width="52" style="1" customWidth="1"/>
    <col min="2" max="2" width="9.83203125" style="1" customWidth="1"/>
    <col min="3" max="3" width="12.5" style="1" customWidth="1"/>
    <col min="4" max="4" width="11" style="1" customWidth="1"/>
    <col min="5" max="5" width="11.33203125" style="1" customWidth="1"/>
    <col min="6" max="6" width="13.83203125" style="1" customWidth="1"/>
    <col min="7" max="7" width="9.83203125" style="1" customWidth="1"/>
    <col min="8" max="8" width="11.83203125" style="1" customWidth="1"/>
    <col min="9" max="9" width="10.6640625" style="1" customWidth="1"/>
    <col min="10" max="10" width="11.33203125" style="1" customWidth="1"/>
    <col min="11" max="11" width="12.5" style="1" customWidth="1"/>
    <col min="12" max="256" width="16.33203125" style="1" customWidth="1"/>
    <col min="257" max="16384" width="16.33203125" style="2"/>
  </cols>
  <sheetData>
    <row r="1" spans="1:256" ht="27" customHeight="1" x14ac:dyDescent="0.15">
      <c r="A1" s="408" t="s">
        <v>106</v>
      </c>
      <c r="B1" s="408"/>
      <c r="C1" s="408"/>
      <c r="D1" s="408"/>
      <c r="E1" s="408"/>
      <c r="F1" s="409"/>
      <c r="IR1" s="2"/>
      <c r="IS1" s="2"/>
      <c r="IT1" s="2"/>
      <c r="IU1" s="2"/>
      <c r="IV1" s="2"/>
    </row>
    <row r="2" spans="1:256" ht="28" customHeight="1" x14ac:dyDescent="0.15">
      <c r="A2" s="40" t="s">
        <v>0</v>
      </c>
      <c r="B2" s="40" t="s">
        <v>113</v>
      </c>
      <c r="C2" s="40" t="s">
        <v>112</v>
      </c>
      <c r="D2" s="40" t="s">
        <v>43</v>
      </c>
      <c r="E2" s="40" t="s">
        <v>121</v>
      </c>
      <c r="F2" s="41" t="s">
        <v>9</v>
      </c>
      <c r="IR2" s="2"/>
      <c r="IS2" s="2"/>
      <c r="IT2" s="2"/>
      <c r="IU2" s="2"/>
      <c r="IV2" s="2"/>
    </row>
    <row r="3" spans="1:256" ht="21.5" customHeight="1" x14ac:dyDescent="0.15">
      <c r="A3" s="81"/>
      <c r="B3" s="9"/>
      <c r="C3" s="3"/>
      <c r="D3" s="3"/>
      <c r="E3" s="10"/>
      <c r="F3" s="10"/>
      <c r="IR3" s="2"/>
      <c r="IS3" s="2"/>
      <c r="IT3" s="2"/>
      <c r="IU3" s="2"/>
      <c r="IV3" s="2"/>
    </row>
    <row r="4" spans="1:256" ht="21.25" customHeight="1" x14ac:dyDescent="0.15">
      <c r="A4" s="7" t="s">
        <v>44</v>
      </c>
      <c r="B4" s="11">
        <v>1</v>
      </c>
      <c r="C4" s="18">
        <v>8</v>
      </c>
      <c r="D4" s="18">
        <f t="shared" ref="D4:D9" si="0">B4*C4</f>
        <v>8</v>
      </c>
      <c r="E4" s="5">
        <v>20</v>
      </c>
      <c r="F4" s="6">
        <f>D4*E4</f>
        <v>160</v>
      </c>
      <c r="IR4" s="2"/>
      <c r="IS4" s="2"/>
      <c r="IT4" s="2"/>
      <c r="IU4" s="2"/>
      <c r="IV4" s="2"/>
    </row>
    <row r="5" spans="1:256" ht="21.25" customHeight="1" x14ac:dyDescent="0.15">
      <c r="A5" s="7" t="s">
        <v>45</v>
      </c>
      <c r="B5" s="11">
        <v>1</v>
      </c>
      <c r="C5" s="18">
        <v>4</v>
      </c>
      <c r="D5" s="18">
        <f t="shared" si="0"/>
        <v>4</v>
      </c>
      <c r="E5" s="5">
        <v>20</v>
      </c>
      <c r="F5" s="6">
        <f>D5*E5</f>
        <v>80</v>
      </c>
      <c r="IR5" s="2"/>
      <c r="IS5" s="2"/>
      <c r="IT5" s="2"/>
      <c r="IU5" s="2"/>
      <c r="IV5" s="2"/>
    </row>
    <row r="6" spans="1:256" ht="21.25" customHeight="1" x14ac:dyDescent="0.15">
      <c r="A6" s="7" t="s">
        <v>46</v>
      </c>
      <c r="B6" s="11">
        <v>4</v>
      </c>
      <c r="C6" s="18">
        <v>16</v>
      </c>
      <c r="D6" s="18">
        <f t="shared" si="0"/>
        <v>64</v>
      </c>
      <c r="E6" s="5">
        <v>20</v>
      </c>
      <c r="F6" s="6">
        <f>(D6*E6)</f>
        <v>1280</v>
      </c>
      <c r="H6" s="1" t="s">
        <v>62</v>
      </c>
      <c r="IR6" s="2"/>
      <c r="IS6" s="2"/>
      <c r="IT6" s="2"/>
      <c r="IU6" s="2"/>
      <c r="IV6" s="2"/>
    </row>
    <row r="7" spans="1:256" ht="21.25" customHeight="1" x14ac:dyDescent="0.15">
      <c r="A7" s="7" t="s">
        <v>47</v>
      </c>
      <c r="B7" s="11">
        <v>2</v>
      </c>
      <c r="C7" s="18">
        <v>40</v>
      </c>
      <c r="D7" s="18">
        <f t="shared" si="0"/>
        <v>80</v>
      </c>
      <c r="E7" s="5">
        <v>20</v>
      </c>
      <c r="F7" s="6">
        <f t="shared" ref="F7:F13" si="1">D7*E7</f>
        <v>1600</v>
      </c>
      <c r="IR7" s="2"/>
      <c r="IS7" s="2"/>
      <c r="IT7" s="2"/>
      <c r="IU7" s="2"/>
      <c r="IV7" s="2"/>
    </row>
    <row r="8" spans="1:256" ht="21.25" customHeight="1" x14ac:dyDescent="0.15">
      <c r="A8" s="7" t="s">
        <v>48</v>
      </c>
      <c r="B8" s="11">
        <v>2</v>
      </c>
      <c r="C8" s="18">
        <v>8</v>
      </c>
      <c r="D8" s="18">
        <f t="shared" si="0"/>
        <v>16</v>
      </c>
      <c r="E8" s="5">
        <v>20</v>
      </c>
      <c r="F8" s="6">
        <f t="shared" si="1"/>
        <v>320</v>
      </c>
      <c r="IR8" s="2"/>
      <c r="IS8" s="2"/>
      <c r="IT8" s="2"/>
      <c r="IU8" s="2"/>
      <c r="IV8" s="2"/>
    </row>
    <row r="9" spans="1:256" ht="21.25" customHeight="1" x14ac:dyDescent="0.15">
      <c r="A9" s="7" t="s">
        <v>49</v>
      </c>
      <c r="B9" s="11">
        <v>2</v>
      </c>
      <c r="C9" s="18">
        <v>16</v>
      </c>
      <c r="D9" s="18">
        <f t="shared" si="0"/>
        <v>32</v>
      </c>
      <c r="E9" s="5">
        <v>20</v>
      </c>
      <c r="F9" s="6">
        <f t="shared" si="1"/>
        <v>640</v>
      </c>
      <c r="IR9" s="2"/>
      <c r="IS9" s="2"/>
      <c r="IT9" s="2"/>
      <c r="IU9" s="2"/>
      <c r="IV9" s="2"/>
    </row>
    <row r="10" spans="1:256" ht="21.25" customHeight="1" x14ac:dyDescent="0.15">
      <c r="A10" s="7" t="s">
        <v>50</v>
      </c>
      <c r="B10" s="11">
        <v>4</v>
      </c>
      <c r="C10" s="18">
        <v>24</v>
      </c>
      <c r="D10" s="18">
        <f>C10*B10</f>
        <v>96</v>
      </c>
      <c r="E10" s="5">
        <v>20</v>
      </c>
      <c r="F10" s="6">
        <f t="shared" si="1"/>
        <v>1920</v>
      </c>
      <c r="IR10" s="2"/>
      <c r="IS10" s="2"/>
      <c r="IT10" s="2"/>
      <c r="IU10" s="2"/>
      <c r="IV10" s="2"/>
    </row>
    <row r="11" spans="1:256" ht="21.25" customHeight="1" x14ac:dyDescent="0.15">
      <c r="A11" s="7" t="s">
        <v>51</v>
      </c>
      <c r="B11" s="11">
        <v>2</v>
      </c>
      <c r="C11" s="18">
        <v>24</v>
      </c>
      <c r="D11" s="18">
        <f t="shared" ref="D11:D17" si="2">B11*C11</f>
        <v>48</v>
      </c>
      <c r="E11" s="5">
        <v>20</v>
      </c>
      <c r="F11" s="6">
        <f t="shared" si="1"/>
        <v>960</v>
      </c>
      <c r="IR11" s="2"/>
      <c r="IS11" s="2"/>
      <c r="IT11" s="2"/>
      <c r="IU11" s="2"/>
      <c r="IV11" s="2"/>
    </row>
    <row r="12" spans="1:256" ht="21" customHeight="1" x14ac:dyDescent="0.15">
      <c r="A12" s="7" t="s">
        <v>52</v>
      </c>
      <c r="B12" s="11">
        <v>4</v>
      </c>
      <c r="C12" s="18">
        <v>32</v>
      </c>
      <c r="D12" s="18">
        <f t="shared" si="2"/>
        <v>128</v>
      </c>
      <c r="E12" s="5">
        <v>20</v>
      </c>
      <c r="F12" s="6">
        <f t="shared" si="1"/>
        <v>2560</v>
      </c>
      <c r="IR12" s="2"/>
      <c r="IS12" s="2"/>
      <c r="IT12" s="2"/>
      <c r="IU12" s="2"/>
      <c r="IV12" s="2"/>
    </row>
    <row r="13" spans="1:256" ht="21.25" customHeight="1" x14ac:dyDescent="0.15">
      <c r="A13" s="7" t="s">
        <v>20</v>
      </c>
      <c r="B13" s="11">
        <v>4</v>
      </c>
      <c r="C13" s="18">
        <v>8</v>
      </c>
      <c r="D13" s="18">
        <f t="shared" si="2"/>
        <v>32</v>
      </c>
      <c r="E13" s="5">
        <v>20</v>
      </c>
      <c r="F13" s="6">
        <f t="shared" si="1"/>
        <v>640</v>
      </c>
      <c r="IR13" s="2"/>
      <c r="IS13" s="2"/>
      <c r="IT13" s="2"/>
      <c r="IU13" s="2"/>
      <c r="IV13" s="2"/>
    </row>
    <row r="14" spans="1:256" ht="21.25" customHeight="1" x14ac:dyDescent="0.15">
      <c r="A14" s="7" t="s">
        <v>53</v>
      </c>
      <c r="B14" s="11">
        <v>2</v>
      </c>
      <c r="C14" s="18">
        <v>20</v>
      </c>
      <c r="D14" s="18">
        <f t="shared" si="2"/>
        <v>40</v>
      </c>
      <c r="E14" s="5">
        <v>20</v>
      </c>
      <c r="F14" s="6">
        <f>(D14*E14)</f>
        <v>800</v>
      </c>
      <c r="IR14" s="2"/>
      <c r="IS14" s="2"/>
      <c r="IT14" s="2"/>
      <c r="IU14" s="2"/>
      <c r="IV14" s="2"/>
    </row>
    <row r="15" spans="1:256" ht="21.25" customHeight="1" x14ac:dyDescent="0.15">
      <c r="A15" s="7" t="s">
        <v>54</v>
      </c>
      <c r="B15" s="11">
        <v>6</v>
      </c>
      <c r="C15" s="18">
        <v>50</v>
      </c>
      <c r="D15" s="18">
        <f t="shared" si="2"/>
        <v>300</v>
      </c>
      <c r="E15" s="5">
        <v>20</v>
      </c>
      <c r="F15" s="6">
        <f>(D15*E15)</f>
        <v>6000</v>
      </c>
      <c r="IR15" s="2"/>
      <c r="IS15" s="2"/>
      <c r="IT15" s="2"/>
      <c r="IU15" s="2"/>
      <c r="IV15" s="2"/>
    </row>
    <row r="16" spans="1:256" ht="21.25" customHeight="1" x14ac:dyDescent="0.15">
      <c r="A16" s="7" t="s">
        <v>55</v>
      </c>
      <c r="B16" s="11">
        <v>7</v>
      </c>
      <c r="C16" s="18">
        <v>24</v>
      </c>
      <c r="D16" s="18">
        <f t="shared" si="2"/>
        <v>168</v>
      </c>
      <c r="E16" s="5">
        <v>20</v>
      </c>
      <c r="F16" s="6">
        <f>(D16*E16)</f>
        <v>3360</v>
      </c>
      <c r="IR16" s="2"/>
      <c r="IS16" s="2"/>
      <c r="IT16" s="2"/>
      <c r="IU16" s="2"/>
      <c r="IV16" s="2"/>
    </row>
    <row r="17" spans="1:256" ht="21.25" customHeight="1" x14ac:dyDescent="0.15">
      <c r="A17" s="7" t="s">
        <v>56</v>
      </c>
      <c r="B17" s="11">
        <v>4</v>
      </c>
      <c r="C17" s="18">
        <v>32</v>
      </c>
      <c r="D17" s="18">
        <f t="shared" si="2"/>
        <v>128</v>
      </c>
      <c r="E17" s="5">
        <v>20</v>
      </c>
      <c r="F17" s="6">
        <f>D17*E17</f>
        <v>2560</v>
      </c>
      <c r="IR17" s="2"/>
      <c r="IS17" s="2"/>
      <c r="IT17" s="2"/>
      <c r="IU17" s="2"/>
      <c r="IV17" s="2"/>
    </row>
    <row r="18" spans="1:256" ht="21.25" customHeight="1" x14ac:dyDescent="0.15">
      <c r="A18" s="144" t="s">
        <v>150</v>
      </c>
      <c r="B18" s="44"/>
      <c r="C18" s="145"/>
      <c r="D18" s="145"/>
      <c r="E18" s="46"/>
      <c r="F18" s="146">
        <v>2000</v>
      </c>
      <c r="IR18" s="2"/>
      <c r="IS18" s="2"/>
      <c r="IT18" s="2"/>
      <c r="IU18" s="2"/>
      <c r="IV18" s="2"/>
    </row>
    <row r="19" spans="1:256" ht="21.25" customHeight="1" thickBot="1" x14ac:dyDescent="0.2">
      <c r="A19" s="42" t="s">
        <v>122</v>
      </c>
      <c r="B19" s="38"/>
      <c r="C19" s="26"/>
      <c r="D19" s="26"/>
      <c r="E19" s="26"/>
      <c r="F19" s="27"/>
      <c r="IR19" s="2"/>
      <c r="IS19" s="2"/>
      <c r="IT19" s="2"/>
      <c r="IU19" s="2"/>
      <c r="IV19" s="2"/>
    </row>
    <row r="20" spans="1:256" ht="21.25" customHeight="1" thickBot="1" x14ac:dyDescent="0.2">
      <c r="A20" s="159" t="s">
        <v>240</v>
      </c>
      <c r="B20" s="64"/>
      <c r="C20" s="65"/>
      <c r="D20" s="65"/>
      <c r="E20" s="66"/>
      <c r="F20" s="322">
        <f>SUM(F3:F18)</f>
        <v>24880</v>
      </c>
      <c r="IR20" s="2"/>
      <c r="IS20" s="2"/>
      <c r="IT20" s="2"/>
      <c r="IU20" s="2"/>
      <c r="IV20" s="2"/>
    </row>
    <row r="21" spans="1:256" ht="25" customHeight="1" x14ac:dyDescent="0.15">
      <c r="A21" s="157" t="s">
        <v>241</v>
      </c>
      <c r="B21" s="320"/>
      <c r="C21" s="320"/>
      <c r="D21" s="320"/>
      <c r="E21" s="320"/>
      <c r="F21" s="323">
        <f>F20/5</f>
        <v>4976</v>
      </c>
    </row>
    <row r="22" spans="1:256" ht="18" customHeight="1" x14ac:dyDescent="0.15">
      <c r="A22" s="320" t="s">
        <v>242</v>
      </c>
      <c r="B22" s="320"/>
      <c r="C22" s="320"/>
      <c r="D22" s="320"/>
      <c r="E22" s="320"/>
      <c r="F22" s="321">
        <f>F21*10</f>
        <v>49760</v>
      </c>
    </row>
  </sheetData>
  <mergeCells count="1">
    <mergeCell ref="A1:F1"/>
  </mergeCells>
  <phoneticPr fontId="1" type="noConversion"/>
  <pageMargins left="1" right="1" top="1" bottom="1" header="0.25" footer="0.25"/>
  <pageSetup scale="58" orientation="portrait"/>
  <headerFooter>
    <oddFooter>&amp;C&amp;"Helvetica,Regular"&amp;12&amp;K000000&amp;P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IT15"/>
  <sheetViews>
    <sheetView showGridLines="0" workbookViewId="0">
      <selection activeCell="A14" sqref="A14"/>
    </sheetView>
  </sheetViews>
  <sheetFormatPr baseColWidth="10" defaultColWidth="16.33203125" defaultRowHeight="18" customHeight="1" x14ac:dyDescent="0.15"/>
  <cols>
    <col min="1" max="1" width="49.5" style="1" customWidth="1"/>
    <col min="2" max="2" width="13.5" style="1" customWidth="1"/>
    <col min="3" max="3" width="14.5" style="1" customWidth="1"/>
    <col min="4" max="4" width="15.5" style="1" customWidth="1"/>
    <col min="5" max="254" width="16.33203125" style="1"/>
    <col min="255" max="16384" width="16.33203125" style="2"/>
  </cols>
  <sheetData>
    <row r="1" spans="1:254" ht="29" customHeight="1" x14ac:dyDescent="0.15">
      <c r="A1" s="408" t="s">
        <v>239</v>
      </c>
      <c r="B1" s="408"/>
      <c r="C1" s="408"/>
      <c r="D1" s="408"/>
    </row>
    <row r="2" spans="1:254" ht="27" customHeight="1" x14ac:dyDescent="0.15">
      <c r="A2" s="73" t="s">
        <v>0</v>
      </c>
      <c r="B2" s="76" t="s">
        <v>42</v>
      </c>
      <c r="C2" s="76" t="s">
        <v>78</v>
      </c>
      <c r="D2" s="77" t="s">
        <v>9</v>
      </c>
      <c r="IT2" s="2"/>
    </row>
    <row r="3" spans="1:254" ht="18" customHeight="1" x14ac:dyDescent="0.15">
      <c r="A3" s="75"/>
      <c r="B3" s="78"/>
      <c r="C3" s="78"/>
      <c r="D3" s="78"/>
      <c r="IT3" s="2"/>
    </row>
    <row r="4" spans="1:254" ht="18" customHeight="1" x14ac:dyDescent="0.15">
      <c r="A4" s="79" t="s">
        <v>89</v>
      </c>
      <c r="B4" s="33">
        <v>1</v>
      </c>
      <c r="C4" s="30">
        <v>10000</v>
      </c>
      <c r="D4" s="23">
        <f t="shared" ref="D4:D14" si="0">B4*C4</f>
        <v>10000</v>
      </c>
      <c r="IT4" s="2"/>
    </row>
    <row r="5" spans="1:254" ht="18" customHeight="1" x14ac:dyDescent="0.15">
      <c r="A5" s="79" t="s">
        <v>85</v>
      </c>
      <c r="B5" s="33">
        <v>1</v>
      </c>
      <c r="C5" s="30">
        <v>1500</v>
      </c>
      <c r="D5" s="23">
        <f t="shared" si="0"/>
        <v>1500</v>
      </c>
      <c r="IT5" s="2"/>
    </row>
    <row r="6" spans="1:254" ht="18" customHeight="1" x14ac:dyDescent="0.15">
      <c r="A6" s="79" t="s">
        <v>73</v>
      </c>
      <c r="B6" s="33">
        <v>1</v>
      </c>
      <c r="C6" s="30">
        <v>30000</v>
      </c>
      <c r="D6" s="23">
        <f t="shared" si="0"/>
        <v>30000</v>
      </c>
      <c r="IT6" s="2"/>
    </row>
    <row r="7" spans="1:254" ht="18" customHeight="1" x14ac:dyDescent="0.15">
      <c r="A7" s="79" t="s">
        <v>74</v>
      </c>
      <c r="B7" s="33">
        <v>1</v>
      </c>
      <c r="C7" s="30">
        <v>1000</v>
      </c>
      <c r="D7" s="23">
        <f t="shared" si="0"/>
        <v>1000</v>
      </c>
      <c r="IT7" s="2"/>
    </row>
    <row r="8" spans="1:254" ht="18" customHeight="1" x14ac:dyDescent="0.15">
      <c r="A8" s="79" t="s">
        <v>75</v>
      </c>
      <c r="B8" s="33">
        <v>1</v>
      </c>
      <c r="C8" s="30">
        <v>1000</v>
      </c>
      <c r="D8" s="23">
        <f t="shared" si="0"/>
        <v>1000</v>
      </c>
      <c r="IT8" s="2"/>
    </row>
    <row r="9" spans="1:254" ht="18" customHeight="1" x14ac:dyDescent="0.15">
      <c r="A9" s="79" t="s">
        <v>76</v>
      </c>
      <c r="B9" s="33">
        <v>1</v>
      </c>
      <c r="C9" s="30">
        <v>2500</v>
      </c>
      <c r="D9" s="23">
        <f t="shared" si="0"/>
        <v>2500</v>
      </c>
      <c r="IT9" s="2"/>
    </row>
    <row r="10" spans="1:254" ht="18" customHeight="1" x14ac:dyDescent="0.15">
      <c r="A10" s="79" t="s">
        <v>107</v>
      </c>
      <c r="B10" s="48">
        <v>1</v>
      </c>
      <c r="C10" s="67">
        <v>6000</v>
      </c>
      <c r="D10" s="82">
        <f t="shared" si="0"/>
        <v>6000</v>
      </c>
      <c r="IT10" s="2"/>
    </row>
    <row r="11" spans="1:254" ht="18" customHeight="1" x14ac:dyDescent="0.15">
      <c r="A11" s="79" t="s">
        <v>123</v>
      </c>
      <c r="B11" s="68">
        <v>1</v>
      </c>
      <c r="C11" s="69">
        <v>25000</v>
      </c>
      <c r="D11" s="82">
        <f t="shared" si="0"/>
        <v>25000</v>
      </c>
      <c r="IT11" s="2"/>
    </row>
    <row r="12" spans="1:254" ht="18" customHeight="1" x14ac:dyDescent="0.15">
      <c r="A12" s="80" t="s">
        <v>108</v>
      </c>
      <c r="B12" s="68">
        <v>1</v>
      </c>
      <c r="C12" s="67">
        <v>7500</v>
      </c>
      <c r="D12" s="82">
        <f t="shared" si="0"/>
        <v>7500</v>
      </c>
      <c r="IT12" s="2"/>
    </row>
    <row r="13" spans="1:254" ht="18" customHeight="1" x14ac:dyDescent="0.15">
      <c r="A13" s="80" t="s">
        <v>109</v>
      </c>
      <c r="B13" s="68">
        <v>1</v>
      </c>
      <c r="C13" s="67">
        <v>6500</v>
      </c>
      <c r="D13" s="82">
        <f t="shared" si="0"/>
        <v>6500</v>
      </c>
      <c r="IT13" s="2"/>
    </row>
    <row r="14" spans="1:254" ht="18" customHeight="1" thickBot="1" x14ac:dyDescent="0.2">
      <c r="A14" s="74" t="s">
        <v>244</v>
      </c>
      <c r="B14" s="29">
        <v>1</v>
      </c>
      <c r="C14" s="83">
        <v>6000</v>
      </c>
      <c r="D14" s="83">
        <f t="shared" si="0"/>
        <v>6000</v>
      </c>
      <c r="IT14" s="2"/>
    </row>
    <row r="15" spans="1:254" ht="18" customHeight="1" thickBot="1" x14ac:dyDescent="0.2">
      <c r="A15" s="70" t="s">
        <v>77</v>
      </c>
      <c r="B15" s="71"/>
      <c r="C15" s="72"/>
      <c r="D15" s="84">
        <f>SUM(D4:D14)</f>
        <v>97000</v>
      </c>
      <c r="IT15" s="2"/>
    </row>
  </sheetData>
  <mergeCells count="1">
    <mergeCell ref="A1:D1"/>
  </mergeCells>
  <phoneticPr fontId="1" type="noConversion"/>
  <pageMargins left="1" right="1" top="1" bottom="1" header="0.25" footer="0.25"/>
  <pageSetup scale="83" orientation="portrait"/>
  <headerFooter>
    <oddFooter>&amp;C&amp;"Helvetica,Regular"&amp;12&amp;K000000&amp;P</oddFooter>
  </headerFooter>
  <legacyDrawingHF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96" zoomScaleNormal="96" zoomScalePageLayoutView="96" workbookViewId="0">
      <selection activeCell="B18" sqref="B18"/>
    </sheetView>
  </sheetViews>
  <sheetFormatPr baseColWidth="10" defaultRowHeight="13" x14ac:dyDescent="0.15"/>
  <cols>
    <col min="1" max="1" width="33.83203125" customWidth="1"/>
    <col min="2" max="2" width="52.5" customWidth="1"/>
    <col min="3" max="3" width="13.5" customWidth="1"/>
    <col min="4" max="4" width="13.6640625" customWidth="1"/>
    <col min="5" max="5" width="14" customWidth="1"/>
    <col min="6" max="6" width="72.6640625" customWidth="1"/>
    <col min="7" max="7" width="15.83203125" customWidth="1"/>
    <col min="8" max="8" width="22.5" customWidth="1"/>
    <col min="9" max="9" width="21.5" customWidth="1"/>
    <col min="10" max="10" width="15.33203125" customWidth="1"/>
  </cols>
  <sheetData>
    <row r="1" spans="1:17" ht="49" customHeight="1" x14ac:dyDescent="0.15">
      <c r="A1" s="412" t="s">
        <v>236</v>
      </c>
      <c r="B1" s="412"/>
      <c r="F1" s="1"/>
      <c r="G1" s="1"/>
      <c r="H1" s="123"/>
      <c r="I1" s="123"/>
      <c r="J1" s="123"/>
      <c r="K1" s="123"/>
      <c r="L1" s="123"/>
      <c r="M1" s="123"/>
      <c r="N1" s="123"/>
      <c r="O1" s="123"/>
      <c r="P1" s="123"/>
      <c r="Q1" s="123"/>
    </row>
    <row r="2" spans="1:17" ht="31" customHeight="1" x14ac:dyDescent="0.15">
      <c r="A2" s="410" t="s">
        <v>237</v>
      </c>
      <c r="B2" s="411"/>
      <c r="F2" s="1"/>
      <c r="G2" s="1"/>
      <c r="H2" s="1"/>
      <c r="I2" s="1"/>
      <c r="J2" s="1"/>
    </row>
    <row r="3" spans="1:17" ht="25" customHeight="1" x14ac:dyDescent="0.25">
      <c r="A3" s="109" t="s">
        <v>91</v>
      </c>
      <c r="B3" s="110">
        <f>'Cash Flow-growing only'!B16</f>
        <v>226051.94399999999</v>
      </c>
      <c r="F3" s="1"/>
      <c r="G3" s="1"/>
      <c r="H3" s="1"/>
      <c r="I3" s="1"/>
      <c r="J3" s="1"/>
    </row>
    <row r="4" spans="1:17" ht="22" customHeight="1" x14ac:dyDescent="0.25">
      <c r="A4" s="109" t="s">
        <v>92</v>
      </c>
      <c r="B4" s="324">
        <v>6.5000000000000002E-2</v>
      </c>
      <c r="F4" s="1"/>
      <c r="G4" s="1"/>
      <c r="H4" s="1"/>
      <c r="I4" s="1"/>
      <c r="J4" s="1"/>
    </row>
    <row r="5" spans="1:17" ht="21" customHeight="1" x14ac:dyDescent="0.25">
      <c r="A5" s="109" t="s">
        <v>93</v>
      </c>
      <c r="B5" s="111">
        <v>5</v>
      </c>
      <c r="F5" s="1"/>
      <c r="G5" s="1"/>
      <c r="H5" s="1"/>
      <c r="I5" s="1"/>
      <c r="J5" s="1"/>
    </row>
    <row r="6" spans="1:17" ht="23" customHeight="1" x14ac:dyDescent="0.25">
      <c r="A6" s="109" t="s">
        <v>94</v>
      </c>
      <c r="B6" s="111">
        <v>12</v>
      </c>
      <c r="F6" s="1"/>
      <c r="G6" s="1"/>
      <c r="H6" s="1"/>
      <c r="I6" s="1"/>
      <c r="J6" s="1"/>
    </row>
    <row r="7" spans="1:17" ht="23" customHeight="1" x14ac:dyDescent="0.25">
      <c r="A7" s="109" t="s">
        <v>95</v>
      </c>
      <c r="B7" s="111">
        <f>B5*B6</f>
        <v>60</v>
      </c>
      <c r="F7" s="1"/>
      <c r="G7" s="1"/>
      <c r="H7" s="1"/>
      <c r="I7" s="1"/>
      <c r="J7" s="1"/>
    </row>
    <row r="8" spans="1:17" ht="22" customHeight="1" x14ac:dyDescent="0.25">
      <c r="A8" s="109" t="s">
        <v>96</v>
      </c>
      <c r="B8" s="112">
        <f>PMT(B4/B6,B7,B3,0)*-1</f>
        <v>4422.9658414357236</v>
      </c>
      <c r="F8" s="1"/>
      <c r="G8" s="1"/>
      <c r="H8" s="1"/>
      <c r="I8" s="1"/>
      <c r="J8" s="1"/>
    </row>
    <row r="9" spans="1:17" ht="23" customHeight="1" x14ac:dyDescent="0.25">
      <c r="A9" s="113" t="s">
        <v>97</v>
      </c>
      <c r="B9" s="114">
        <f>B8*12</f>
        <v>53075.590097228684</v>
      </c>
      <c r="F9" s="1"/>
      <c r="G9" s="1"/>
      <c r="H9" s="1"/>
      <c r="I9" s="1"/>
      <c r="J9" s="1"/>
    </row>
    <row r="10" spans="1:17" ht="27" customHeight="1" x14ac:dyDescent="0.25">
      <c r="A10" s="109" t="s">
        <v>98</v>
      </c>
      <c r="B10" s="112">
        <f>B8*B7</f>
        <v>265377.95048614341</v>
      </c>
      <c r="F10" s="1"/>
      <c r="G10" s="1"/>
      <c r="H10" s="1"/>
      <c r="I10" s="1"/>
      <c r="J10" s="1"/>
    </row>
    <row r="11" spans="1:17" ht="28" customHeight="1" x14ac:dyDescent="0.25">
      <c r="A11" s="109" t="s">
        <v>111</v>
      </c>
      <c r="B11" s="112">
        <f>B10-B3</f>
        <v>39326.006486143422</v>
      </c>
      <c r="F11" s="1"/>
      <c r="G11" s="1"/>
      <c r="H11" s="1"/>
      <c r="I11" s="1"/>
      <c r="J11" s="1"/>
    </row>
    <row r="12" spans="1:17" ht="15" x14ac:dyDescent="0.15">
      <c r="A12" s="2"/>
      <c r="B12" s="2"/>
      <c r="F12" s="1"/>
      <c r="G12" s="1"/>
      <c r="H12" s="1"/>
      <c r="I12" s="1"/>
      <c r="J12" s="1"/>
    </row>
    <row r="13" spans="1:17" ht="15" x14ac:dyDescent="0.15">
      <c r="A13" s="2"/>
      <c r="B13" s="2"/>
      <c r="F13" s="1"/>
      <c r="G13" s="1"/>
      <c r="H13" s="1"/>
      <c r="I13" s="1"/>
      <c r="J13" s="1"/>
    </row>
    <row r="14" spans="1:17" ht="30" customHeight="1" x14ac:dyDescent="0.15">
      <c r="A14" s="410" t="s">
        <v>238</v>
      </c>
      <c r="B14" s="411"/>
      <c r="F14" s="1"/>
      <c r="G14" s="1"/>
      <c r="H14" s="1"/>
      <c r="I14" s="1"/>
      <c r="J14" s="1"/>
    </row>
    <row r="15" spans="1:17" ht="22" customHeight="1" x14ac:dyDescent="0.25">
      <c r="A15" s="109" t="s">
        <v>91</v>
      </c>
      <c r="B15" s="110">
        <f>'Cash Flow-grow+harvest+dry+bale'!B16</f>
        <v>277051.94400000002</v>
      </c>
      <c r="F15" s="1"/>
      <c r="G15" s="1"/>
      <c r="H15" s="1"/>
      <c r="I15" s="1"/>
      <c r="J15" s="1"/>
    </row>
    <row r="16" spans="1:17" ht="22" customHeight="1" x14ac:dyDescent="0.25">
      <c r="A16" s="109" t="s">
        <v>92</v>
      </c>
      <c r="B16" s="324">
        <v>6.5000000000000002E-2</v>
      </c>
      <c r="F16" s="1"/>
      <c r="G16" s="1"/>
      <c r="H16" s="1"/>
      <c r="I16" s="1"/>
      <c r="J16" s="1"/>
    </row>
    <row r="17" spans="1:10" ht="22" customHeight="1" x14ac:dyDescent="0.25">
      <c r="A17" s="109" t="s">
        <v>93</v>
      </c>
      <c r="B17" s="111">
        <v>5</v>
      </c>
      <c r="F17" s="1"/>
      <c r="G17" s="1"/>
      <c r="H17" s="1"/>
      <c r="I17" s="1"/>
      <c r="J17" s="1"/>
    </row>
    <row r="18" spans="1:10" ht="22" customHeight="1" x14ac:dyDescent="0.25">
      <c r="A18" s="109" t="s">
        <v>94</v>
      </c>
      <c r="B18" s="111">
        <v>12</v>
      </c>
      <c r="F18" s="1"/>
      <c r="G18" s="1"/>
      <c r="H18" s="1"/>
      <c r="I18" s="1"/>
      <c r="J18" s="1"/>
    </row>
    <row r="19" spans="1:10" ht="22" customHeight="1" x14ac:dyDescent="0.25">
      <c r="A19" s="109" t="s">
        <v>95</v>
      </c>
      <c r="B19" s="111">
        <f>B17*B18</f>
        <v>60</v>
      </c>
      <c r="F19" s="1"/>
      <c r="G19" s="1"/>
      <c r="H19" s="1"/>
      <c r="I19" s="1"/>
      <c r="J19" s="1"/>
    </row>
    <row r="20" spans="1:10" ht="22" customHeight="1" x14ac:dyDescent="0.25">
      <c r="A20" s="109" t="s">
        <v>96</v>
      </c>
      <c r="B20" s="112">
        <f>PMT(B16/B18,B19,B15,0)*-1</f>
        <v>5420.8394005908794</v>
      </c>
    </row>
    <row r="21" spans="1:10" ht="22" customHeight="1" x14ac:dyDescent="0.25">
      <c r="A21" s="113" t="s">
        <v>97</v>
      </c>
      <c r="B21" s="114">
        <f>B20*12</f>
        <v>65050.072807090553</v>
      </c>
    </row>
    <row r="22" spans="1:10" ht="22" customHeight="1" x14ac:dyDescent="0.25">
      <c r="A22" s="109" t="s">
        <v>98</v>
      </c>
      <c r="B22" s="112">
        <f>B20*B19</f>
        <v>325250.36403545277</v>
      </c>
    </row>
    <row r="23" spans="1:10" ht="22" customHeight="1" x14ac:dyDescent="0.25">
      <c r="A23" s="109" t="s">
        <v>111</v>
      </c>
      <c r="B23" s="112">
        <f>B22-B15</f>
        <v>48198.420035452757</v>
      </c>
    </row>
    <row r="25" spans="1:10" ht="20" customHeight="1" x14ac:dyDescent="0.15">
      <c r="A25" s="413" t="s">
        <v>231</v>
      </c>
      <c r="B25" s="413"/>
    </row>
    <row r="26" spans="1:10" s="136" customFormat="1" x14ac:dyDescent="0.15"/>
    <row r="27" spans="1:10" s="140" customFormat="1" ht="14" customHeight="1" x14ac:dyDescent="0.15">
      <c r="A27" s="137"/>
      <c r="B27" s="138"/>
      <c r="C27" s="139"/>
      <c r="D27" s="139"/>
      <c r="E27" s="139"/>
      <c r="F27" s="139"/>
      <c r="G27" s="139"/>
      <c r="H27" s="139"/>
      <c r="I27" s="139"/>
      <c r="J27" s="139"/>
    </row>
    <row r="28" spans="1:10" s="140" customFormat="1" ht="16" customHeight="1" x14ac:dyDescent="0.15">
      <c r="A28" s="137"/>
      <c r="B28" s="141"/>
      <c r="C28" s="142"/>
      <c r="D28" s="137"/>
      <c r="E28" s="137"/>
      <c r="F28" s="137"/>
      <c r="G28" s="141"/>
      <c r="H28" s="143"/>
      <c r="I28" s="143"/>
      <c r="J28" s="143"/>
    </row>
    <row r="29" spans="1:10" s="140" customFormat="1" ht="16" customHeight="1" x14ac:dyDescent="0.15">
      <c r="A29" s="137"/>
      <c r="B29" s="141"/>
      <c r="C29" s="142"/>
      <c r="D29" s="137"/>
      <c r="E29" s="137"/>
      <c r="F29" s="137"/>
      <c r="G29" s="141"/>
      <c r="H29" s="143"/>
      <c r="I29" s="143"/>
      <c r="J29" s="143"/>
    </row>
    <row r="30" spans="1:10" s="140" customFormat="1" ht="15" customHeight="1" x14ac:dyDescent="0.15">
      <c r="A30" s="137"/>
      <c r="B30" s="141"/>
      <c r="C30" s="142"/>
      <c r="D30" s="137"/>
      <c r="E30" s="137"/>
      <c r="F30" s="137"/>
      <c r="G30" s="141"/>
      <c r="H30" s="143"/>
      <c r="I30" s="143"/>
      <c r="J30" s="143"/>
    </row>
    <row r="31" spans="1:10" s="140" customFormat="1" ht="16" customHeight="1" x14ac:dyDescent="0.15">
      <c r="A31" s="137"/>
      <c r="B31" s="137"/>
      <c r="C31" s="137"/>
      <c r="D31" s="137"/>
      <c r="E31" s="137"/>
      <c r="F31" s="137"/>
      <c r="G31" s="137"/>
      <c r="H31" s="143"/>
      <c r="I31" s="137"/>
      <c r="J31" s="137"/>
    </row>
    <row r="32" spans="1:10" s="136" customFormat="1" x14ac:dyDescent="0.15"/>
  </sheetData>
  <mergeCells count="4">
    <mergeCell ref="A14:B14"/>
    <mergeCell ref="A2:B2"/>
    <mergeCell ref="A1:B1"/>
    <mergeCell ref="A25:B25"/>
  </mergeCells>
  <phoneticPr fontId="1" type="noConversion"/>
  <hyperlinks>
    <hyperlink ref="A25" r:id="rId1"/>
    <hyperlink ref="B25" r:id="rId2" display="http://www.usahops.org/userfiles/image/1455778816_Moss Adams Small Grower Track.pdf"/>
  </hyperlinks>
  <pageMargins left="0.75" right="0.75" top="1" bottom="1" header="0.5" footer="0.5"/>
  <pageSetup orientation="portrait" horizontalDpi="4294967292" verticalDpi="4294967292"/>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A15" sqref="A15:G28"/>
    </sheetView>
  </sheetViews>
  <sheetFormatPr baseColWidth="10" defaultRowHeight="13" x14ac:dyDescent="0.15"/>
  <cols>
    <col min="1" max="1" width="41.1640625" customWidth="1"/>
    <col min="2" max="2" width="12.1640625" customWidth="1"/>
    <col min="3" max="3" width="12.33203125" customWidth="1"/>
    <col min="4" max="4" width="11.83203125" customWidth="1"/>
    <col min="5" max="5" width="12.6640625" customWidth="1"/>
    <col min="6" max="6" width="13" customWidth="1"/>
    <col min="7" max="7" width="16.33203125" customWidth="1"/>
    <col min="9" max="9" width="51.1640625" customWidth="1"/>
    <col min="10" max="10" width="23.1640625" customWidth="1"/>
    <col min="11" max="11" width="15.83203125" customWidth="1"/>
  </cols>
  <sheetData>
    <row r="1" spans="1:13" ht="41" customHeight="1" x14ac:dyDescent="0.15">
      <c r="A1" s="408" t="s">
        <v>172</v>
      </c>
      <c r="B1" s="408"/>
      <c r="C1" s="408"/>
      <c r="D1" s="408"/>
      <c r="E1" s="408"/>
      <c r="F1" s="408"/>
      <c r="G1" s="409"/>
      <c r="I1" s="414"/>
      <c r="J1" s="414"/>
      <c r="K1" s="414"/>
      <c r="L1" s="414"/>
      <c r="M1" s="414"/>
    </row>
    <row r="2" spans="1:13" ht="32" customHeight="1" x14ac:dyDescent="0.15">
      <c r="A2" s="40" t="s">
        <v>134</v>
      </c>
      <c r="B2" s="124" t="s">
        <v>136</v>
      </c>
      <c r="C2" s="124" t="s">
        <v>137</v>
      </c>
      <c r="D2" s="124" t="s">
        <v>138</v>
      </c>
      <c r="E2" s="124" t="s">
        <v>139</v>
      </c>
      <c r="F2" s="124" t="s">
        <v>140</v>
      </c>
      <c r="G2" s="125" t="s">
        <v>141</v>
      </c>
      <c r="H2" s="126"/>
      <c r="I2" s="128"/>
      <c r="J2" s="128"/>
      <c r="K2" s="128"/>
      <c r="L2" s="128"/>
      <c r="M2" s="128"/>
    </row>
    <row r="3" spans="1:13" ht="22" customHeight="1" x14ac:dyDescent="0.15">
      <c r="A3" s="418" t="s">
        <v>151</v>
      </c>
      <c r="B3" s="419"/>
      <c r="C3" s="419"/>
      <c r="D3" s="419"/>
      <c r="E3" s="419"/>
      <c r="F3" s="419"/>
      <c r="G3" s="420"/>
    </row>
    <row r="4" spans="1:13" ht="22" customHeight="1" x14ac:dyDescent="0.15">
      <c r="A4" s="225"/>
      <c r="B4" s="226"/>
      <c r="C4" s="226"/>
      <c r="D4" s="226"/>
      <c r="E4" s="226"/>
      <c r="F4" s="226"/>
      <c r="G4" s="226"/>
    </row>
    <row r="5" spans="1:13" ht="29" customHeight="1" x14ac:dyDescent="0.15">
      <c r="A5" s="133" t="s">
        <v>148</v>
      </c>
      <c r="B5" s="227">
        <f>'Cash Flow-growing only'!B6*'Cash Flow-growing only'!B7*('Cash Flow-growing only'!B8-1)/100/'Cash Flow-growing only'!B7</f>
        <v>0</v>
      </c>
      <c r="C5" s="227">
        <f>'Cash Flow-growing only'!C6*'Cash Flow-growing only'!C7*('Cash Flow-growing only'!C8-1)/100/'Cash Flow-growing only'!C7</f>
        <v>99</v>
      </c>
      <c r="D5" s="227">
        <f>'Cash Flow-growing only'!D6*'Cash Flow-growing only'!D7*('Cash Flow-growing only'!D8-1)/100/'Cash Flow-growing only'!D7</f>
        <v>135</v>
      </c>
      <c r="E5" s="227">
        <f>'Cash Flow-growing only'!E6*'Cash Flow-growing only'!E7*('Cash Flow-growing only'!E8-1)/100/'Cash Flow-growing only'!E7</f>
        <v>144</v>
      </c>
      <c r="F5" s="227">
        <f>'Cash Flow-growing only'!F6*'Cash Flow-growing only'!F7*('Cash Flow-growing only'!F8-1)/100/'Cash Flow-growing only'!F7</f>
        <v>162</v>
      </c>
      <c r="G5" s="229">
        <f>SUM(B5:F5)</f>
        <v>540</v>
      </c>
      <c r="J5" s="128"/>
    </row>
    <row r="6" spans="1:13" ht="32" customHeight="1" x14ac:dyDescent="0.15">
      <c r="A6" s="85" t="s">
        <v>176</v>
      </c>
      <c r="B6" s="228">
        <v>10</v>
      </c>
      <c r="C6" s="228">
        <v>10</v>
      </c>
      <c r="D6" s="228">
        <v>10</v>
      </c>
      <c r="E6" s="228">
        <v>10</v>
      </c>
      <c r="F6" s="228">
        <v>10</v>
      </c>
      <c r="G6" s="230">
        <f>SUM(B6:F6)</f>
        <v>50</v>
      </c>
    </row>
    <row r="7" spans="1:13" ht="28" customHeight="1" x14ac:dyDescent="0.15">
      <c r="A7" s="85" t="s">
        <v>178</v>
      </c>
      <c r="B7" s="228"/>
      <c r="C7" s="228"/>
      <c r="D7" s="228"/>
      <c r="E7" s="228"/>
      <c r="F7" s="228"/>
      <c r="G7" s="230"/>
      <c r="J7" s="129"/>
    </row>
    <row r="8" spans="1:13" ht="27" customHeight="1" x14ac:dyDescent="0.15">
      <c r="A8" s="85" t="s">
        <v>179</v>
      </c>
      <c r="B8" s="228"/>
      <c r="C8" s="228"/>
      <c r="D8" s="228"/>
      <c r="E8" s="228"/>
      <c r="F8" s="228"/>
      <c r="G8" s="230"/>
      <c r="J8" s="128"/>
    </row>
    <row r="9" spans="1:13" ht="26" customHeight="1" x14ac:dyDescent="0.15">
      <c r="A9" s="85" t="s">
        <v>175</v>
      </c>
      <c r="B9" s="228"/>
      <c r="C9" s="228"/>
      <c r="D9" s="228"/>
      <c r="E9" s="228"/>
      <c r="F9" s="228"/>
      <c r="G9" s="230"/>
      <c r="J9" s="129"/>
      <c r="M9" s="127"/>
    </row>
    <row r="10" spans="1:13" ht="27" customHeight="1" thickBot="1" x14ac:dyDescent="0.2">
      <c r="A10" s="134" t="s">
        <v>180</v>
      </c>
      <c r="B10" s="228"/>
      <c r="C10" s="228"/>
      <c r="D10" s="228"/>
      <c r="E10" s="228"/>
      <c r="F10" s="228"/>
      <c r="G10" s="230"/>
      <c r="J10" s="129"/>
    </row>
    <row r="11" spans="1:13" ht="17" thickBot="1" x14ac:dyDescent="0.2">
      <c r="A11" s="39" t="s">
        <v>135</v>
      </c>
      <c r="B11" s="231">
        <f>SUM(B5:B10)</f>
        <v>10</v>
      </c>
      <c r="C11" s="231">
        <f>SUM(C5:C10)</f>
        <v>109</v>
      </c>
      <c r="D11" s="231">
        <f>SUM(D5:D10)</f>
        <v>145</v>
      </c>
      <c r="E11" s="231">
        <f>SUM(E5:E10)</f>
        <v>154</v>
      </c>
      <c r="F11" s="231">
        <f>SUM(F5:F10)</f>
        <v>172</v>
      </c>
      <c r="G11" s="232">
        <f>SUM(G3:G10)</f>
        <v>590</v>
      </c>
    </row>
    <row r="12" spans="1:13" ht="15" x14ac:dyDescent="0.15">
      <c r="A12" s="2"/>
      <c r="C12" s="130"/>
      <c r="D12" s="130"/>
      <c r="E12" s="130"/>
      <c r="F12" s="130"/>
      <c r="G12" s="130"/>
    </row>
    <row r="13" spans="1:13" ht="17" customHeight="1" x14ac:dyDescent="0.15">
      <c r="A13" s="415" t="s">
        <v>147</v>
      </c>
      <c r="B13" s="415"/>
      <c r="C13" s="415"/>
      <c r="D13" s="415"/>
      <c r="E13" s="415"/>
      <c r="F13" s="415"/>
      <c r="G13" s="415"/>
    </row>
    <row r="14" spans="1:13" ht="13" customHeight="1" x14ac:dyDescent="0.15"/>
    <row r="15" spans="1:13" ht="17" customHeight="1" x14ac:dyDescent="0.15">
      <c r="A15" s="421" t="s">
        <v>235</v>
      </c>
      <c r="B15" s="421"/>
      <c r="C15" s="421"/>
      <c r="D15" s="421"/>
      <c r="E15" s="421"/>
      <c r="F15" s="421"/>
      <c r="G15" s="421"/>
    </row>
    <row r="16" spans="1:13" s="224" customFormat="1" ht="36" customHeight="1" x14ac:dyDescent="0.15">
      <c r="A16" s="416" t="s">
        <v>177</v>
      </c>
      <c r="B16" s="416"/>
      <c r="C16" s="416"/>
      <c r="D16" s="416"/>
      <c r="E16" s="416"/>
      <c r="F16" s="416"/>
      <c r="G16" s="416"/>
    </row>
    <row r="17" spans="1:9" s="224" customFormat="1" ht="26" customHeight="1" x14ac:dyDescent="0.15">
      <c r="A17" s="416" t="s">
        <v>232</v>
      </c>
      <c r="B17" s="416"/>
      <c r="C17" s="416"/>
      <c r="D17" s="416"/>
      <c r="E17" s="416"/>
      <c r="F17" s="416"/>
      <c r="G17" s="416"/>
    </row>
    <row r="18" spans="1:9" ht="44" customHeight="1" x14ac:dyDescent="0.15">
      <c r="A18" s="416" t="s">
        <v>181</v>
      </c>
      <c r="B18" s="416"/>
      <c r="C18" s="416"/>
      <c r="D18" s="416"/>
      <c r="E18" s="416"/>
      <c r="F18" s="416"/>
      <c r="G18" s="416"/>
    </row>
    <row r="19" spans="1:9" ht="46" customHeight="1" x14ac:dyDescent="0.15">
      <c r="A19" s="416" t="s">
        <v>170</v>
      </c>
      <c r="B19" s="416"/>
      <c r="C19" s="416"/>
      <c r="D19" s="416"/>
      <c r="E19" s="416"/>
      <c r="F19" s="416"/>
      <c r="G19" s="416"/>
    </row>
    <row r="20" spans="1:9" ht="28" customHeight="1" x14ac:dyDescent="0.15">
      <c r="A20" s="416" t="s">
        <v>171</v>
      </c>
      <c r="B20" s="416"/>
      <c r="C20" s="416"/>
      <c r="D20" s="416"/>
      <c r="E20" s="416"/>
      <c r="F20" s="416"/>
      <c r="G20" s="416"/>
    </row>
    <row r="21" spans="1:9" ht="18" customHeight="1" x14ac:dyDescent="0.15">
      <c r="A21" s="314"/>
      <c r="B21" s="314"/>
      <c r="C21" s="314"/>
      <c r="D21" s="314"/>
      <c r="E21" s="314"/>
      <c r="F21" s="314"/>
      <c r="G21" s="314"/>
    </row>
    <row r="22" spans="1:9" x14ac:dyDescent="0.15">
      <c r="A22" s="422" t="s">
        <v>234</v>
      </c>
      <c r="B22" s="422"/>
      <c r="C22" s="422"/>
      <c r="D22" s="422"/>
      <c r="E22" s="422"/>
      <c r="F22" s="422"/>
      <c r="G22" s="422"/>
    </row>
    <row r="23" spans="1:9" ht="46" customHeight="1" x14ac:dyDescent="0.15">
      <c r="A23" s="417" t="s">
        <v>233</v>
      </c>
      <c r="B23" s="417"/>
      <c r="C23" s="417"/>
      <c r="D23" s="417"/>
      <c r="E23" s="417"/>
      <c r="F23" s="417"/>
      <c r="G23" s="417"/>
      <c r="H23" s="233"/>
      <c r="I23" s="233"/>
    </row>
    <row r="24" spans="1:9" ht="48" customHeight="1" x14ac:dyDescent="0.15">
      <c r="A24" s="423" t="s">
        <v>186</v>
      </c>
      <c r="B24" s="423"/>
      <c r="C24" s="423"/>
      <c r="D24" s="423"/>
      <c r="E24" s="423"/>
      <c r="F24" s="423"/>
      <c r="G24" s="423"/>
    </row>
    <row r="25" spans="1:9" ht="34" customHeight="1" x14ac:dyDescent="0.15">
      <c r="A25" s="423" t="s">
        <v>187</v>
      </c>
      <c r="B25" s="423"/>
      <c r="C25" s="423"/>
      <c r="D25" s="423"/>
      <c r="E25" s="423"/>
      <c r="F25" s="423"/>
      <c r="G25" s="423"/>
    </row>
    <row r="26" spans="1:9" ht="34" customHeight="1" x14ac:dyDescent="0.15">
      <c r="A26" s="423" t="s">
        <v>188</v>
      </c>
      <c r="B26" s="423"/>
      <c r="C26" s="423"/>
      <c r="D26" s="423"/>
      <c r="E26" s="423"/>
      <c r="F26" s="423"/>
      <c r="G26" s="423"/>
    </row>
    <row r="27" spans="1:9" ht="43" customHeight="1" x14ac:dyDescent="0.15">
      <c r="A27" s="423" t="s">
        <v>189</v>
      </c>
      <c r="B27" s="423"/>
      <c r="C27" s="423"/>
      <c r="D27" s="423"/>
      <c r="E27" s="423"/>
      <c r="F27" s="423"/>
      <c r="G27" s="423"/>
    </row>
    <row r="28" spans="1:9" ht="56" customHeight="1" x14ac:dyDescent="0.15">
      <c r="A28" s="423" t="s">
        <v>190</v>
      </c>
      <c r="B28" s="423"/>
      <c r="C28" s="423"/>
      <c r="D28" s="423"/>
      <c r="E28" s="423"/>
      <c r="F28" s="423"/>
      <c r="G28" s="423"/>
    </row>
  </sheetData>
  <mergeCells count="17">
    <mergeCell ref="A24:G24"/>
    <mergeCell ref="A25:G25"/>
    <mergeCell ref="A26:G26"/>
    <mergeCell ref="A27:G27"/>
    <mergeCell ref="A28:G28"/>
    <mergeCell ref="A1:G1"/>
    <mergeCell ref="I1:M1"/>
    <mergeCell ref="A13:G13"/>
    <mergeCell ref="A18:G18"/>
    <mergeCell ref="A23:G23"/>
    <mergeCell ref="A17:G17"/>
    <mergeCell ref="A19:G19"/>
    <mergeCell ref="A16:G16"/>
    <mergeCell ref="A20:G20"/>
    <mergeCell ref="A3:G3"/>
    <mergeCell ref="A15:G15"/>
    <mergeCell ref="A22:G22"/>
  </mergeCells>
  <phoneticPr fontId="1" type="noConversion"/>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workbookViewId="0">
      <selection activeCell="E36" sqref="E36"/>
    </sheetView>
  </sheetViews>
  <sheetFormatPr baseColWidth="10" defaultRowHeight="13" x14ac:dyDescent="0.15"/>
  <sheetData>
    <row r="1" spans="1:16" ht="23" x14ac:dyDescent="0.15">
      <c r="A1" s="424" t="s">
        <v>246</v>
      </c>
      <c r="B1" s="424"/>
      <c r="C1" s="424"/>
      <c r="D1" s="424"/>
      <c r="E1" s="424"/>
      <c r="F1" s="424"/>
      <c r="G1" s="424"/>
      <c r="H1" s="424"/>
      <c r="I1" s="424"/>
      <c r="J1" s="424"/>
      <c r="K1" s="424"/>
      <c r="L1" s="424"/>
      <c r="M1" s="424"/>
      <c r="N1" s="424"/>
      <c r="O1" s="424"/>
      <c r="P1" s="424"/>
    </row>
    <row r="2" spans="1:16" ht="23" x14ac:dyDescent="0.15">
      <c r="A2" s="252"/>
      <c r="B2" s="425" t="s">
        <v>136</v>
      </c>
      <c r="C2" s="425"/>
      <c r="D2" s="425"/>
      <c r="E2" s="425" t="s">
        <v>137</v>
      </c>
      <c r="F2" s="425"/>
      <c r="G2" s="425"/>
      <c r="H2" s="425" t="s">
        <v>138</v>
      </c>
      <c r="I2" s="425"/>
      <c r="J2" s="425"/>
      <c r="K2" s="425" t="s">
        <v>139</v>
      </c>
      <c r="L2" s="425"/>
      <c r="M2" s="425"/>
      <c r="N2" s="425" t="s">
        <v>140</v>
      </c>
      <c r="O2" s="425"/>
      <c r="P2" s="425"/>
    </row>
    <row r="3" spans="1:16" ht="17" x14ac:dyDescent="0.15">
      <c r="A3" s="325" t="s">
        <v>0</v>
      </c>
      <c r="B3" s="326" t="s">
        <v>42</v>
      </c>
      <c r="C3" s="76" t="s">
        <v>78</v>
      </c>
      <c r="D3" s="327" t="s">
        <v>9</v>
      </c>
      <c r="E3" s="328" t="s">
        <v>42</v>
      </c>
      <c r="F3" s="76" t="s">
        <v>78</v>
      </c>
      <c r="G3" s="77" t="s">
        <v>9</v>
      </c>
      <c r="H3" s="329" t="s">
        <v>42</v>
      </c>
      <c r="I3" s="76" t="s">
        <v>78</v>
      </c>
      <c r="J3" s="330" t="s">
        <v>9</v>
      </c>
      <c r="K3" s="328" t="s">
        <v>42</v>
      </c>
      <c r="L3" s="76" t="s">
        <v>78</v>
      </c>
      <c r="M3" s="330" t="s">
        <v>9</v>
      </c>
      <c r="N3" s="328" t="s">
        <v>42</v>
      </c>
      <c r="O3" s="76" t="s">
        <v>78</v>
      </c>
      <c r="P3" s="330" t="s">
        <v>9</v>
      </c>
    </row>
    <row r="4" spans="1:16" ht="16" x14ac:dyDescent="0.15">
      <c r="A4" s="75"/>
      <c r="B4" s="331"/>
      <c r="C4" s="78"/>
      <c r="D4" s="332"/>
      <c r="E4" s="333"/>
      <c r="F4" s="78"/>
      <c r="G4" s="334"/>
      <c r="H4" s="335"/>
      <c r="I4" s="78"/>
      <c r="J4" s="336"/>
      <c r="K4" s="333"/>
      <c r="L4" s="78"/>
      <c r="M4" s="336"/>
      <c r="N4" s="333"/>
      <c r="O4" s="78"/>
      <c r="P4" s="336"/>
    </row>
    <row r="5" spans="1:16" ht="16" x14ac:dyDescent="0.15">
      <c r="A5" s="79"/>
      <c r="B5" s="337"/>
      <c r="C5" s="30"/>
      <c r="D5" s="338">
        <f t="shared" ref="D5:D15" si="0">B5*C5</f>
        <v>0</v>
      </c>
      <c r="E5" s="339"/>
      <c r="F5" s="30"/>
      <c r="G5" s="340">
        <f t="shared" ref="G5:G15" si="1">E5*F5</f>
        <v>0</v>
      </c>
      <c r="H5" s="341"/>
      <c r="I5" s="30"/>
      <c r="J5" s="342">
        <f t="shared" ref="J5:J15" si="2">H5*I5</f>
        <v>0</v>
      </c>
      <c r="K5" s="339"/>
      <c r="L5" s="30"/>
      <c r="M5" s="342">
        <f t="shared" ref="M5:M15" si="3">K5*L5</f>
        <v>0</v>
      </c>
      <c r="N5" s="339"/>
      <c r="O5" s="30"/>
      <c r="P5" s="342">
        <f t="shared" ref="P5:P15" si="4">N5*O5</f>
        <v>0</v>
      </c>
    </row>
    <row r="6" spans="1:16" ht="16" x14ac:dyDescent="0.15">
      <c r="A6" s="79"/>
      <c r="B6" s="337"/>
      <c r="C6" s="30"/>
      <c r="D6" s="338">
        <f t="shared" si="0"/>
        <v>0</v>
      </c>
      <c r="E6" s="339"/>
      <c r="F6" s="30"/>
      <c r="G6" s="340">
        <f t="shared" si="1"/>
        <v>0</v>
      </c>
      <c r="H6" s="341"/>
      <c r="I6" s="30"/>
      <c r="J6" s="342">
        <f t="shared" si="2"/>
        <v>0</v>
      </c>
      <c r="K6" s="339"/>
      <c r="L6" s="30"/>
      <c r="M6" s="342">
        <f t="shared" si="3"/>
        <v>0</v>
      </c>
      <c r="N6" s="339"/>
      <c r="O6" s="30"/>
      <c r="P6" s="342">
        <f t="shared" si="4"/>
        <v>0</v>
      </c>
    </row>
    <row r="7" spans="1:16" ht="16" x14ac:dyDescent="0.15">
      <c r="A7" s="79"/>
      <c r="B7" s="337"/>
      <c r="C7" s="30"/>
      <c r="D7" s="338">
        <f t="shared" si="0"/>
        <v>0</v>
      </c>
      <c r="E7" s="339"/>
      <c r="F7" s="30"/>
      <c r="G7" s="340">
        <f t="shared" si="1"/>
        <v>0</v>
      </c>
      <c r="H7" s="341"/>
      <c r="I7" s="30"/>
      <c r="J7" s="342">
        <f t="shared" si="2"/>
        <v>0</v>
      </c>
      <c r="K7" s="339"/>
      <c r="L7" s="30"/>
      <c r="M7" s="342">
        <f t="shared" si="3"/>
        <v>0</v>
      </c>
      <c r="N7" s="339"/>
      <c r="O7" s="30"/>
      <c r="P7" s="342">
        <f t="shared" si="4"/>
        <v>0</v>
      </c>
    </row>
    <row r="8" spans="1:16" ht="16" x14ac:dyDescent="0.15">
      <c r="A8" s="79"/>
      <c r="B8" s="337"/>
      <c r="C8" s="30"/>
      <c r="D8" s="338">
        <f t="shared" si="0"/>
        <v>0</v>
      </c>
      <c r="E8" s="339"/>
      <c r="F8" s="30"/>
      <c r="G8" s="340">
        <f t="shared" si="1"/>
        <v>0</v>
      </c>
      <c r="H8" s="341"/>
      <c r="I8" s="30"/>
      <c r="J8" s="342">
        <f t="shared" si="2"/>
        <v>0</v>
      </c>
      <c r="K8" s="339"/>
      <c r="L8" s="30"/>
      <c r="M8" s="342">
        <f t="shared" si="3"/>
        <v>0</v>
      </c>
      <c r="N8" s="339"/>
      <c r="O8" s="30"/>
      <c r="P8" s="342">
        <f t="shared" si="4"/>
        <v>0</v>
      </c>
    </row>
    <row r="9" spans="1:16" ht="16" x14ac:dyDescent="0.15">
      <c r="A9" s="79"/>
      <c r="B9" s="337"/>
      <c r="C9" s="30"/>
      <c r="D9" s="338">
        <f t="shared" si="0"/>
        <v>0</v>
      </c>
      <c r="E9" s="339"/>
      <c r="F9" s="30"/>
      <c r="G9" s="340">
        <f t="shared" si="1"/>
        <v>0</v>
      </c>
      <c r="H9" s="341"/>
      <c r="I9" s="30"/>
      <c r="J9" s="342">
        <f t="shared" si="2"/>
        <v>0</v>
      </c>
      <c r="K9" s="339"/>
      <c r="L9" s="30"/>
      <c r="M9" s="342">
        <f t="shared" si="3"/>
        <v>0</v>
      </c>
      <c r="N9" s="339"/>
      <c r="O9" s="30"/>
      <c r="P9" s="342">
        <f t="shared" si="4"/>
        <v>0</v>
      </c>
    </row>
    <row r="10" spans="1:16" ht="16" x14ac:dyDescent="0.15">
      <c r="A10" s="79"/>
      <c r="B10" s="337"/>
      <c r="C10" s="30"/>
      <c r="D10" s="338">
        <f t="shared" si="0"/>
        <v>0</v>
      </c>
      <c r="E10" s="339"/>
      <c r="F10" s="30"/>
      <c r="G10" s="340">
        <f t="shared" si="1"/>
        <v>0</v>
      </c>
      <c r="H10" s="341"/>
      <c r="I10" s="30"/>
      <c r="J10" s="342">
        <f t="shared" si="2"/>
        <v>0</v>
      </c>
      <c r="K10" s="339"/>
      <c r="L10" s="30"/>
      <c r="M10" s="342">
        <f t="shared" si="3"/>
        <v>0</v>
      </c>
      <c r="N10" s="339"/>
      <c r="O10" s="30"/>
      <c r="P10" s="342">
        <f t="shared" si="4"/>
        <v>0</v>
      </c>
    </row>
    <row r="11" spans="1:16" ht="16" x14ac:dyDescent="0.15">
      <c r="A11" s="79"/>
      <c r="B11" s="343"/>
      <c r="C11" s="67"/>
      <c r="D11" s="344">
        <f t="shared" si="0"/>
        <v>0</v>
      </c>
      <c r="E11" s="345"/>
      <c r="F11" s="67"/>
      <c r="G11" s="346">
        <f t="shared" si="1"/>
        <v>0</v>
      </c>
      <c r="H11" s="347"/>
      <c r="I11" s="67"/>
      <c r="J11" s="348">
        <f t="shared" si="2"/>
        <v>0</v>
      </c>
      <c r="K11" s="345"/>
      <c r="L11" s="67"/>
      <c r="M11" s="348">
        <f t="shared" si="3"/>
        <v>0</v>
      </c>
      <c r="N11" s="345"/>
      <c r="O11" s="67"/>
      <c r="P11" s="348">
        <f t="shared" si="4"/>
        <v>0</v>
      </c>
    </row>
    <row r="12" spans="1:16" ht="16" x14ac:dyDescent="0.15">
      <c r="A12" s="79"/>
      <c r="B12" s="349"/>
      <c r="C12" s="69"/>
      <c r="D12" s="344">
        <f t="shared" si="0"/>
        <v>0</v>
      </c>
      <c r="E12" s="350"/>
      <c r="F12" s="69"/>
      <c r="G12" s="346">
        <f t="shared" si="1"/>
        <v>0</v>
      </c>
      <c r="H12" s="351"/>
      <c r="I12" s="69"/>
      <c r="J12" s="348">
        <f t="shared" si="2"/>
        <v>0</v>
      </c>
      <c r="K12" s="350"/>
      <c r="L12" s="69"/>
      <c r="M12" s="348">
        <f t="shared" si="3"/>
        <v>0</v>
      </c>
      <c r="N12" s="350"/>
      <c r="O12" s="69"/>
      <c r="P12" s="348">
        <f t="shared" si="4"/>
        <v>0</v>
      </c>
    </row>
    <row r="13" spans="1:16" ht="16" x14ac:dyDescent="0.15">
      <c r="A13" s="80"/>
      <c r="B13" s="349"/>
      <c r="C13" s="67"/>
      <c r="D13" s="344">
        <f t="shared" si="0"/>
        <v>0</v>
      </c>
      <c r="E13" s="350"/>
      <c r="F13" s="67"/>
      <c r="G13" s="346">
        <f t="shared" si="1"/>
        <v>0</v>
      </c>
      <c r="H13" s="351"/>
      <c r="I13" s="67"/>
      <c r="J13" s="348">
        <f t="shared" si="2"/>
        <v>0</v>
      </c>
      <c r="K13" s="350"/>
      <c r="L13" s="67"/>
      <c r="M13" s="348">
        <f t="shared" si="3"/>
        <v>0</v>
      </c>
      <c r="N13" s="350"/>
      <c r="O13" s="67"/>
      <c r="P13" s="348">
        <f t="shared" si="4"/>
        <v>0</v>
      </c>
    </row>
    <row r="14" spans="1:16" ht="16" x14ac:dyDescent="0.15">
      <c r="A14" s="80"/>
      <c r="B14" s="349"/>
      <c r="C14" s="67"/>
      <c r="D14" s="344">
        <f t="shared" si="0"/>
        <v>0</v>
      </c>
      <c r="E14" s="350"/>
      <c r="F14" s="67"/>
      <c r="G14" s="346">
        <f t="shared" si="1"/>
        <v>0</v>
      </c>
      <c r="H14" s="351"/>
      <c r="I14" s="67"/>
      <c r="J14" s="348">
        <f t="shared" si="2"/>
        <v>0</v>
      </c>
      <c r="K14" s="350"/>
      <c r="L14" s="67"/>
      <c r="M14" s="348">
        <f t="shared" si="3"/>
        <v>0</v>
      </c>
      <c r="N14" s="350"/>
      <c r="O14" s="67"/>
      <c r="P14" s="348">
        <f t="shared" si="4"/>
        <v>0</v>
      </c>
    </row>
    <row r="15" spans="1:16" ht="17" thickBot="1" x14ac:dyDescent="0.2">
      <c r="A15" s="352"/>
      <c r="B15" s="353"/>
      <c r="C15" s="354"/>
      <c r="D15" s="355">
        <f t="shared" si="0"/>
        <v>0</v>
      </c>
      <c r="E15" s="356"/>
      <c r="F15" s="354"/>
      <c r="G15" s="357">
        <f t="shared" si="1"/>
        <v>0</v>
      </c>
      <c r="H15" s="358"/>
      <c r="I15" s="354"/>
      <c r="J15" s="359">
        <f t="shared" si="2"/>
        <v>0</v>
      </c>
      <c r="K15" s="356"/>
      <c r="L15" s="354"/>
      <c r="M15" s="359">
        <f t="shared" si="3"/>
        <v>0</v>
      </c>
      <c r="N15" s="356"/>
      <c r="O15" s="354"/>
      <c r="P15" s="359">
        <f t="shared" si="4"/>
        <v>0</v>
      </c>
    </row>
    <row r="16" spans="1:16" ht="18" thickBot="1" x14ac:dyDescent="0.2">
      <c r="A16" s="360" t="s">
        <v>247</v>
      </c>
      <c r="B16" s="361"/>
      <c r="C16" s="72"/>
      <c r="D16" s="362">
        <f>SUM(D5:D15)</f>
        <v>0</v>
      </c>
      <c r="E16" s="363"/>
      <c r="F16" s="72"/>
      <c r="G16" s="364">
        <f>SUM(G5:G15)</f>
        <v>0</v>
      </c>
      <c r="H16" s="365"/>
      <c r="I16" s="72"/>
      <c r="J16" s="366">
        <f>SUM(J5:J15)</f>
        <v>0</v>
      </c>
      <c r="K16" s="363"/>
      <c r="L16" s="72"/>
      <c r="M16" s="366">
        <f>SUM(M5:M15)</f>
        <v>0</v>
      </c>
      <c r="N16" s="363"/>
      <c r="O16" s="72"/>
      <c r="P16" s="366">
        <f>SUM(P5:P15)</f>
        <v>0</v>
      </c>
    </row>
  </sheetData>
  <mergeCells count="6">
    <mergeCell ref="A1:P1"/>
    <mergeCell ref="B2:D2"/>
    <mergeCell ref="E2:G2"/>
    <mergeCell ref="H2:J2"/>
    <mergeCell ref="K2:M2"/>
    <mergeCell ref="N2:P2"/>
  </mergeCells>
  <phoneticPr fontId="1" type="noConversion"/>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Instructions and Assumptions</vt:lpstr>
      <vt:lpstr>Cash Flow-growing only</vt:lpstr>
      <vt:lpstr>Cash Flow-grow+harvest+dry+bale</vt:lpstr>
      <vt:lpstr>App. A -Bld Out Infrastructure</vt:lpstr>
      <vt:lpstr>App. B -Buildout Labor</vt:lpstr>
      <vt:lpstr>App. C-Equipment</vt:lpstr>
      <vt:lpstr>App. D Loan detail</vt:lpstr>
      <vt:lpstr>App E. Insurance Detail</vt:lpstr>
      <vt:lpstr>App. F - Unanticipated Expenses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cp:lastPrinted>2016-09-15T17:16:14Z</cp:lastPrinted>
  <dcterms:created xsi:type="dcterms:W3CDTF">2016-01-08T02:11:06Z</dcterms:created>
  <dcterms:modified xsi:type="dcterms:W3CDTF">2016-11-08T10:54:17Z</dcterms:modified>
</cp:coreProperties>
</file>