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322"/>
  <workbookPr autoCompressPictures="0"/>
  <bookViews>
    <workbookView xWindow="0" yWindow="-460" windowWidth="28800" windowHeight="18000" tabRatio="809"/>
  </bookViews>
  <sheets>
    <sheet name="Assumptions" sheetId="6" r:id="rId1"/>
    <sheet name="Establishment" sheetId="5" r:id="rId2"/>
    <sheet name="Hop Production" sheetId="1" r:id="rId3"/>
    <sheet name="Price&amp;Yield Analysis" sheetId="13" r:id="rId4"/>
    <sheet name="App1. Machinery Etc" sheetId="9" r:id="rId5"/>
    <sheet name="App2. Capital Req" sheetId="11" r:id="rId6"/>
    <sheet name="App3. Amortization calc" sheetId="7" r:id="rId7"/>
    <sheet name="App4. NPV&amp;Payback Pd" sheetId="10" r:id="rId8"/>
  </sheets>
  <definedNames>
    <definedName name="_xlnm.Print_Area" localSheetId="1">Establishment!$B$2:$D$29</definedName>
    <definedName name="_xlnm.Print_Area" localSheetId="2">'Hop Production'!$B$2:$F$42</definedName>
    <definedName name="solver_adj" localSheetId="7" hidden="1">'App4. NPV&amp;Payback Pd'!$H$44</definedName>
    <definedName name="solver_cvg" localSheetId="7" hidden="1">0.0001</definedName>
    <definedName name="solver_drv" localSheetId="7" hidden="1">1</definedName>
    <definedName name="solver_eng" localSheetId="7" hidden="1">1</definedName>
    <definedName name="solver_est" localSheetId="7" hidden="1">1</definedName>
    <definedName name="solver_itr" localSheetId="7" hidden="1">100</definedName>
    <definedName name="solver_lin" localSheetId="7" hidden="1">2</definedName>
    <definedName name="solver_mip" localSheetId="7" hidden="1">2147483647</definedName>
    <definedName name="solver_mni" localSheetId="7" hidden="1">30</definedName>
    <definedName name="solver_mrt" localSheetId="7" hidden="1">0.075</definedName>
    <definedName name="solver_msl" localSheetId="7" hidden="1">2</definedName>
    <definedName name="solver_neg" localSheetId="7" hidden="1">2</definedName>
    <definedName name="solver_nod" localSheetId="7" hidden="1">2147483647</definedName>
    <definedName name="solver_num" localSheetId="7" hidden="1">0</definedName>
    <definedName name="solver_nwt" localSheetId="7" hidden="1">1</definedName>
    <definedName name="solver_opt" localSheetId="7" hidden="1">'App4. NPV&amp;Payback Pd'!$H$43</definedName>
    <definedName name="solver_pre" localSheetId="7" hidden="1">0.000001</definedName>
    <definedName name="solver_rbv" localSheetId="7" hidden="1">1</definedName>
    <definedName name="solver_rlx" localSheetId="7" hidden="1">2</definedName>
    <definedName name="solver_rsd" localSheetId="7" hidden="1">0</definedName>
    <definedName name="solver_scl" localSheetId="7" hidden="1">2</definedName>
    <definedName name="solver_sho" localSheetId="7" hidden="1">2</definedName>
    <definedName name="solver_ssz" localSheetId="7" hidden="1">100</definedName>
    <definedName name="solver_tim" localSheetId="7" hidden="1">100</definedName>
    <definedName name="solver_tol" localSheetId="7" hidden="1">0.05</definedName>
    <definedName name="solver_typ" localSheetId="7" hidden="1">3</definedName>
    <definedName name="solver_val" localSheetId="7" hidden="1">0</definedName>
    <definedName name="solver_ver" localSheetId="7" hidden="1">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11" i="5" l="1"/>
  <c r="C12" i="5"/>
  <c r="E35" i="1"/>
  <c r="K26" i="10"/>
  <c r="K18" i="10"/>
  <c r="C34" i="10"/>
  <c r="K34" i="10"/>
  <c r="T33" i="10"/>
  <c r="K33" i="10"/>
  <c r="T32" i="10"/>
  <c r="K32" i="10"/>
  <c r="T31" i="10"/>
  <c r="K31" i="10"/>
  <c r="T30" i="10"/>
  <c r="K30" i="10"/>
  <c r="V29" i="10"/>
  <c r="T29" i="10"/>
  <c r="M29" i="10"/>
  <c r="K29" i="10"/>
  <c r="T34" i="10"/>
  <c r="G25" i="9"/>
  <c r="G24" i="9"/>
  <c r="G23" i="9"/>
  <c r="E25" i="9"/>
  <c r="I25" i="9"/>
  <c r="H25" i="9"/>
  <c r="B9" i="13"/>
  <c r="B7" i="13"/>
  <c r="B6" i="13"/>
  <c r="B5" i="13"/>
  <c r="B10" i="13"/>
  <c r="B11" i="13"/>
  <c r="B12" i="13"/>
  <c r="C26" i="10"/>
  <c r="T26" i="10"/>
  <c r="T25" i="10"/>
  <c r="T24" i="10"/>
  <c r="T23" i="10"/>
  <c r="T22" i="10"/>
  <c r="V21" i="10"/>
  <c r="T21" i="10"/>
  <c r="M21" i="10"/>
  <c r="Y42" i="10"/>
  <c r="C6" i="11"/>
  <c r="H37" i="10"/>
  <c r="Y37" i="10"/>
  <c r="H36" i="10"/>
  <c r="P36" i="10"/>
  <c r="Y44" i="10"/>
  <c r="P44" i="10"/>
  <c r="V13" i="10"/>
  <c r="T13" i="10"/>
  <c r="M13" i="10"/>
  <c r="P37" i="10"/>
  <c r="T15" i="10"/>
  <c r="T14" i="10"/>
  <c r="Y36" i="10"/>
  <c r="P42" i="10"/>
  <c r="T16" i="10"/>
  <c r="C18" i="10"/>
  <c r="T17" i="10"/>
  <c r="T18" i="10"/>
  <c r="D24" i="1"/>
  <c r="D23" i="1"/>
  <c r="E36" i="1"/>
  <c r="H40" i="10"/>
  <c r="E5" i="9"/>
  <c r="H5" i="9"/>
  <c r="E6" i="9"/>
  <c r="H6" i="9"/>
  <c r="D38" i="9"/>
  <c r="E38" i="9"/>
  <c r="E36" i="9"/>
  <c r="I36" i="9"/>
  <c r="E35" i="9"/>
  <c r="H35" i="9"/>
  <c r="E34" i="9"/>
  <c r="I34" i="9"/>
  <c r="E33" i="9"/>
  <c r="H33" i="9"/>
  <c r="E32" i="9"/>
  <c r="I32" i="9"/>
  <c r="E31" i="9"/>
  <c r="H31" i="9"/>
  <c r="E30" i="9"/>
  <c r="I30" i="9"/>
  <c r="E29" i="9"/>
  <c r="H29" i="9"/>
  <c r="E28" i="9"/>
  <c r="I28" i="9"/>
  <c r="E27" i="9"/>
  <c r="H27" i="9"/>
  <c r="E26" i="9"/>
  <c r="I26" i="9"/>
  <c r="E24" i="9"/>
  <c r="H24" i="9"/>
  <c r="E23" i="9"/>
  <c r="I23" i="9"/>
  <c r="E22" i="9"/>
  <c r="H22" i="9"/>
  <c r="E21" i="9"/>
  <c r="I21" i="9"/>
  <c r="E20" i="9"/>
  <c r="H20" i="9"/>
  <c r="E19" i="9"/>
  <c r="I19" i="9"/>
  <c r="E18" i="9"/>
  <c r="H18" i="9"/>
  <c r="E17" i="9"/>
  <c r="I17" i="9"/>
  <c r="E16" i="9"/>
  <c r="H16" i="9"/>
  <c r="E15" i="9"/>
  <c r="I15" i="9"/>
  <c r="E14" i="9"/>
  <c r="H14" i="9"/>
  <c r="E13" i="9"/>
  <c r="I13" i="9"/>
  <c r="E12" i="9"/>
  <c r="H12" i="9"/>
  <c r="E11" i="9"/>
  <c r="I11" i="9"/>
  <c r="E10" i="9"/>
  <c r="H10" i="9"/>
  <c r="E9" i="9"/>
  <c r="I9" i="9"/>
  <c r="E8" i="9"/>
  <c r="H8" i="9"/>
  <c r="E7" i="9"/>
  <c r="I7" i="9"/>
  <c r="H38" i="9"/>
  <c r="D8" i="11"/>
  <c r="P40" i="10"/>
  <c r="Y40" i="10"/>
  <c r="D35" i="1"/>
  <c r="H38" i="10"/>
  <c r="D36" i="1"/>
  <c r="H39" i="10"/>
  <c r="H41" i="10"/>
  <c r="E15" i="10"/>
  <c r="H34" i="9"/>
  <c r="H30" i="9"/>
  <c r="H26" i="9"/>
  <c r="H21" i="9"/>
  <c r="H17" i="9"/>
  <c r="H13" i="9"/>
  <c r="H9" i="9"/>
  <c r="I6" i="9"/>
  <c r="H36" i="9"/>
  <c r="H32" i="9"/>
  <c r="H28" i="9"/>
  <c r="H23" i="9"/>
  <c r="H19" i="9"/>
  <c r="H15" i="9"/>
  <c r="H11" i="9"/>
  <c r="H7" i="9"/>
  <c r="D16" i="1"/>
  <c r="D17" i="1"/>
  <c r="D9" i="11"/>
  <c r="I5" i="9"/>
  <c r="I35" i="9"/>
  <c r="I33" i="9"/>
  <c r="I31" i="9"/>
  <c r="I29" i="9"/>
  <c r="I27" i="9"/>
  <c r="I24" i="9"/>
  <c r="I22" i="9"/>
  <c r="I20" i="9"/>
  <c r="I18" i="9"/>
  <c r="I16" i="9"/>
  <c r="I14" i="9"/>
  <c r="I12" i="9"/>
  <c r="I10" i="9"/>
  <c r="I8" i="9"/>
  <c r="I38" i="9"/>
  <c r="E40" i="9"/>
  <c r="D7" i="11"/>
  <c r="D40" i="1"/>
  <c r="D12" i="11"/>
  <c r="Y39" i="10"/>
  <c r="P39" i="10"/>
  <c r="E23" i="10"/>
  <c r="E31" i="10"/>
  <c r="E16" i="10"/>
  <c r="V15" i="10"/>
  <c r="M15" i="10"/>
  <c r="D10" i="11"/>
  <c r="N14" i="10"/>
  <c r="Y41" i="10"/>
  <c r="P41" i="10"/>
  <c r="P38" i="10"/>
  <c r="Y38" i="10"/>
  <c r="E14" i="10"/>
  <c r="H40" i="9"/>
  <c r="H41" i="9"/>
  <c r="I40" i="9"/>
  <c r="I41" i="9"/>
  <c r="M31" i="10"/>
  <c r="V31" i="10"/>
  <c r="V23" i="10"/>
  <c r="M23" i="10"/>
  <c r="E22" i="10"/>
  <c r="E30" i="10"/>
  <c r="M14" i="10"/>
  <c r="O14" i="10"/>
  <c r="P14" i="10"/>
  <c r="V14" i="10"/>
  <c r="F14" i="10"/>
  <c r="W14" i="10"/>
  <c r="D14" i="11"/>
  <c r="E24" i="10"/>
  <c r="E32" i="10"/>
  <c r="M16" i="10"/>
  <c r="E17" i="10"/>
  <c r="V16" i="10"/>
  <c r="D21" i="1"/>
  <c r="E21" i="1"/>
  <c r="D20" i="1"/>
  <c r="E20" i="1"/>
  <c r="E24" i="1"/>
  <c r="M30" i="10"/>
  <c r="V30" i="10"/>
  <c r="M32" i="10"/>
  <c r="V32" i="10"/>
  <c r="D30" i="1"/>
  <c r="D32" i="1"/>
  <c r="X14" i="10"/>
  <c r="Y14" i="10"/>
  <c r="G14" i="10"/>
  <c r="H14" i="10"/>
  <c r="E25" i="10"/>
  <c r="E33" i="10"/>
  <c r="E18" i="10"/>
  <c r="V17" i="10"/>
  <c r="M17" i="10"/>
  <c r="V24" i="10"/>
  <c r="M24" i="10"/>
  <c r="M22" i="10"/>
  <c r="V22" i="10"/>
  <c r="C23" i="5"/>
  <c r="E16" i="1"/>
  <c r="M33" i="10"/>
  <c r="V33" i="10"/>
  <c r="D42" i="1"/>
  <c r="E26" i="10"/>
  <c r="E34" i="10"/>
  <c r="M18" i="10"/>
  <c r="V18" i="10"/>
  <c r="V25" i="10"/>
  <c r="M25" i="10"/>
  <c r="E23" i="1"/>
  <c r="C24" i="5"/>
  <c r="M34" i="10"/>
  <c r="V34" i="10"/>
  <c r="V26" i="10"/>
  <c r="M26" i="10"/>
  <c r="C27" i="5"/>
  <c r="C5" i="7"/>
  <c r="E17" i="1"/>
  <c r="E9" i="11"/>
  <c r="E10" i="11"/>
  <c r="C9" i="11"/>
  <c r="F15" i="10"/>
  <c r="N15" i="10"/>
  <c r="E40" i="1"/>
  <c r="C9" i="7"/>
  <c r="E29" i="1"/>
  <c r="C10" i="11"/>
  <c r="N13" i="10"/>
  <c r="O13" i="10"/>
  <c r="P13" i="10"/>
  <c r="N21" i="10"/>
  <c r="N16" i="10"/>
  <c r="O15" i="10"/>
  <c r="P15" i="10"/>
  <c r="W15" i="10"/>
  <c r="X15" i="10"/>
  <c r="Y15" i="10"/>
  <c r="F16" i="10"/>
  <c r="G15" i="10"/>
  <c r="H15" i="10"/>
  <c r="E12" i="11"/>
  <c r="E14" i="11"/>
  <c r="E30" i="1"/>
  <c r="D7" i="13"/>
  <c r="C8" i="13"/>
  <c r="E8" i="13"/>
  <c r="D9" i="13"/>
  <c r="D10" i="13"/>
  <c r="H8" i="13"/>
  <c r="F7" i="13"/>
  <c r="D8" i="13"/>
  <c r="F8" i="13"/>
  <c r="F9" i="13"/>
  <c r="F10" i="13"/>
  <c r="H9" i="13"/>
  <c r="C12" i="13"/>
  <c r="D12" i="13"/>
  <c r="H10" i="13"/>
  <c r="F11" i="13"/>
  <c r="E12" i="13"/>
  <c r="C11" i="13"/>
  <c r="E9" i="13"/>
  <c r="H11" i="13"/>
  <c r="C7" i="13"/>
  <c r="C6" i="13"/>
  <c r="C5" i="13"/>
  <c r="F6" i="13"/>
  <c r="F5" i="13"/>
  <c r="C10" i="13"/>
  <c r="D5" i="13"/>
  <c r="H7" i="13"/>
  <c r="H12" i="13"/>
  <c r="F12" i="13"/>
  <c r="D11" i="13"/>
  <c r="E11" i="13"/>
  <c r="E10" i="13"/>
  <c r="C9" i="13"/>
  <c r="E7" i="13"/>
  <c r="E6" i="13"/>
  <c r="E5" i="13"/>
  <c r="H5" i="13"/>
  <c r="D6" i="13"/>
  <c r="H6" i="13"/>
  <c r="G11" i="13"/>
  <c r="G5" i="13"/>
  <c r="G7" i="13"/>
  <c r="G9" i="13"/>
  <c r="G10" i="13"/>
  <c r="G12" i="13"/>
  <c r="G6" i="13"/>
  <c r="G8" i="13"/>
  <c r="F13" i="10"/>
  <c r="C14" i="11"/>
  <c r="Q13" i="10"/>
  <c r="Q14" i="10"/>
  <c r="W16" i="10"/>
  <c r="X16" i="10"/>
  <c r="Y16" i="10"/>
  <c r="F17" i="10"/>
  <c r="G16" i="10"/>
  <c r="H16" i="10"/>
  <c r="Q15" i="10"/>
  <c r="N22" i="10"/>
  <c r="O21" i="10"/>
  <c r="P21" i="10"/>
  <c r="N17" i="10"/>
  <c r="O16" i="10"/>
  <c r="P16" i="10"/>
  <c r="Q16" i="10"/>
  <c r="E32" i="1"/>
  <c r="E45" i="1"/>
  <c r="E46" i="1"/>
  <c r="P43" i="10"/>
  <c r="E42" i="1"/>
  <c r="W13" i="10"/>
  <c r="X13" i="10"/>
  <c r="Y13" i="10"/>
  <c r="G13" i="10"/>
  <c r="H13" i="10"/>
  <c r="N18" i="10"/>
  <c r="O18" i="10"/>
  <c r="P18" i="10"/>
  <c r="O17" i="10"/>
  <c r="P17" i="10"/>
  <c r="N23" i="10"/>
  <c r="N29" i="10"/>
  <c r="O22" i="10"/>
  <c r="P22" i="10"/>
  <c r="F18" i="10"/>
  <c r="W17" i="10"/>
  <c r="X17" i="10"/>
  <c r="Y17" i="10"/>
  <c r="G17" i="10"/>
  <c r="H17" i="10"/>
  <c r="O29" i="10"/>
  <c r="P29" i="10"/>
  <c r="N30" i="10"/>
  <c r="Z16" i="10"/>
  <c r="Q21" i="10"/>
  <c r="Q18" i="10"/>
  <c r="Q22" i="10"/>
  <c r="Z13" i="10"/>
  <c r="Z14" i="10"/>
  <c r="Z15" i="10"/>
  <c r="Z17" i="10"/>
  <c r="Q17" i="10"/>
  <c r="F21" i="10"/>
  <c r="W18" i="10"/>
  <c r="X18" i="10"/>
  <c r="Y18" i="10"/>
  <c r="Z18" i="10"/>
  <c r="G18" i="10"/>
  <c r="H18" i="10"/>
  <c r="N24" i="10"/>
  <c r="O23" i="10"/>
  <c r="P23" i="10"/>
  <c r="Q23" i="10"/>
  <c r="N31" i="10"/>
  <c r="O30" i="10"/>
  <c r="P30" i="10"/>
  <c r="W21" i="10"/>
  <c r="X21" i="10"/>
  <c r="Y21" i="10"/>
  <c r="Z21" i="10"/>
  <c r="G21" i="10"/>
  <c r="H21" i="10"/>
  <c r="F22" i="10"/>
  <c r="N25" i="10"/>
  <c r="O24" i="10"/>
  <c r="P24" i="10"/>
  <c r="Q24" i="10"/>
  <c r="N32" i="10"/>
  <c r="O31" i="10"/>
  <c r="P31" i="10"/>
  <c r="W22" i="10"/>
  <c r="X22" i="10"/>
  <c r="Y22" i="10"/>
  <c r="F23" i="10"/>
  <c r="G22" i="10"/>
  <c r="H22" i="10"/>
  <c r="N26" i="10"/>
  <c r="O26" i="10"/>
  <c r="P26" i="10"/>
  <c r="O25" i="10"/>
  <c r="P25" i="10"/>
  <c r="Q25" i="10"/>
  <c r="Q31" i="10"/>
  <c r="N33" i="10"/>
  <c r="O32" i="10"/>
  <c r="P32" i="10"/>
  <c r="Q32" i="10"/>
  <c r="Q29" i="10"/>
  <c r="Q30" i="10"/>
  <c r="Z22" i="10"/>
  <c r="F24" i="10"/>
  <c r="W23" i="10"/>
  <c r="X23" i="10"/>
  <c r="Y23" i="10"/>
  <c r="G23" i="10"/>
  <c r="H23" i="10"/>
  <c r="Q26" i="10"/>
  <c r="N34" i="10"/>
  <c r="O34" i="10"/>
  <c r="P34" i="10"/>
  <c r="O33" i="10"/>
  <c r="P33" i="10"/>
  <c r="Q33" i="10"/>
  <c r="Z23" i="10"/>
  <c r="W24" i="10"/>
  <c r="X24" i="10"/>
  <c r="Y24" i="10"/>
  <c r="F25" i="10"/>
  <c r="G24" i="10"/>
  <c r="H24" i="10"/>
  <c r="Q34" i="10"/>
  <c r="Z24" i="10"/>
  <c r="F26" i="10"/>
  <c r="F29" i="10"/>
  <c r="W25" i="10"/>
  <c r="X25" i="10"/>
  <c r="Y25" i="10"/>
  <c r="Z25" i="10"/>
  <c r="G25" i="10"/>
  <c r="H25" i="10"/>
  <c r="G29" i="10"/>
  <c r="H29" i="10"/>
  <c r="F30" i="10"/>
  <c r="W29" i="10"/>
  <c r="X29" i="10"/>
  <c r="Y29" i="10"/>
  <c r="W26" i="10"/>
  <c r="X26" i="10"/>
  <c r="Y26" i="10"/>
  <c r="Z26" i="10"/>
  <c r="G26" i="10"/>
  <c r="H26" i="10"/>
  <c r="Z29" i="10"/>
  <c r="F31" i="10"/>
  <c r="W30" i="10"/>
  <c r="X30" i="10"/>
  <c r="Y30" i="10"/>
  <c r="Z30" i="10"/>
  <c r="G30" i="10"/>
  <c r="H30" i="10"/>
  <c r="F32" i="10"/>
  <c r="W31" i="10"/>
  <c r="X31" i="10"/>
  <c r="Y31" i="10"/>
  <c r="Z31" i="10"/>
  <c r="G31" i="10"/>
  <c r="H31" i="10"/>
  <c r="F33" i="10"/>
  <c r="W32" i="10"/>
  <c r="X32" i="10"/>
  <c r="Y32" i="10"/>
  <c r="Z32" i="10"/>
  <c r="G32" i="10"/>
  <c r="H32" i="10"/>
  <c r="F34" i="10"/>
  <c r="W33" i="10"/>
  <c r="X33" i="10"/>
  <c r="Y33" i="10"/>
  <c r="Z33" i="10"/>
  <c r="G33" i="10"/>
  <c r="H33" i="10"/>
  <c r="Y43" i="10"/>
  <c r="W34" i="10"/>
  <c r="X34" i="10"/>
  <c r="Y34" i="10"/>
  <c r="Z34" i="10"/>
  <c r="G34" i="10"/>
  <c r="H34" i="10"/>
  <c r="H43" i="10"/>
</calcChain>
</file>

<file path=xl/sharedStrings.xml><?xml version="1.0" encoding="utf-8"?>
<sst xmlns="http://schemas.openxmlformats.org/spreadsheetml/2006/main" count="290" uniqueCount="239">
  <si>
    <t>Comments and Notes</t>
  </si>
  <si>
    <t>Variable Costs:</t>
  </si>
  <si>
    <t>Chemicals</t>
  </si>
  <si>
    <t>Licenses, fees and dues</t>
  </si>
  <si>
    <t xml:space="preserve"> Includes equipment, trellis, irrigation, facilities</t>
  </si>
  <si>
    <t>Supplies</t>
  </si>
  <si>
    <t>Utilities</t>
  </si>
  <si>
    <t>Seasonal Labor</t>
  </si>
  <si>
    <t>Total Variable Costs</t>
  </si>
  <si>
    <t>Fixed Costs:</t>
  </si>
  <si>
    <t>Total Fixed Costs</t>
  </si>
  <si>
    <t>TOTAL COSTS</t>
  </si>
  <si>
    <t xml:space="preserve"> Includes N, P, K, S, Zn and other plant nutrients</t>
  </si>
  <si>
    <t xml:space="preserve"> Includes all herbicides, pesticides, and fungicides (for powdery mildew control)</t>
  </si>
  <si>
    <t>Fertilizer and leaf feed</t>
  </si>
  <si>
    <t>Parts and repairs</t>
  </si>
  <si>
    <t>Fuel and oil</t>
  </si>
  <si>
    <t>Irrigation water</t>
  </si>
  <si>
    <t>Custom hire</t>
  </si>
  <si>
    <t>Consulting</t>
  </si>
  <si>
    <t xml:space="preserve"> Includes agricultural field consulting</t>
  </si>
  <si>
    <t xml:space="preserve"> Includes custom spraying, harvesting, tractor work, etc.</t>
  </si>
  <si>
    <t>Overhead</t>
  </si>
  <si>
    <t xml:space="preserve"> Includes property insurance, crop insurance and liability insurance</t>
  </si>
  <si>
    <t xml:space="preserve"> Cost of electricity and telephones</t>
  </si>
  <si>
    <t xml:space="preserve">Insurance cost </t>
  </si>
  <si>
    <t>Land &amp; property taxes</t>
  </si>
  <si>
    <t>Land cost</t>
  </si>
  <si>
    <t>Interest on operating capital</t>
  </si>
  <si>
    <t xml:space="preserve">Management </t>
  </si>
  <si>
    <t>Administration</t>
  </si>
  <si>
    <t>Estimated Price ($/lb)</t>
  </si>
  <si>
    <t>TOTAL RETURNS</t>
  </si>
  <si>
    <t>Estimated Net Returns</t>
  </si>
  <si>
    <t>$/Acre</t>
  </si>
  <si>
    <t xml:space="preserve"> Includes health insurance, employer taxes, etc.</t>
  </si>
  <si>
    <t xml:space="preserve"> Includes assessments, dues licenses, inspection fees</t>
  </si>
  <si>
    <t xml:space="preserve"> Includes office supplies and professional services (attorney, accounting, etc.)</t>
  </si>
  <si>
    <t xml:space="preserve"> Includes twine &amp; clips, and packaging supplies</t>
  </si>
  <si>
    <t xml:space="preserve">     Disc</t>
  </si>
  <si>
    <t xml:space="preserve">     Subsoil</t>
  </si>
  <si>
    <t xml:space="preserve">     Plow/Rototill</t>
  </si>
  <si>
    <t xml:space="preserve">     Cultipack/Sprtooth (2X)</t>
  </si>
  <si>
    <t xml:space="preserve">     Fumigate</t>
  </si>
  <si>
    <t xml:space="preserve">     Interest</t>
  </si>
  <si>
    <t>Total Land Preparation</t>
  </si>
  <si>
    <t xml:space="preserve">     Field Poles</t>
  </si>
  <si>
    <t xml:space="preserve">     Anchor Poles</t>
  </si>
  <si>
    <t xml:space="preserve">     Anchor Holes</t>
  </si>
  <si>
    <t xml:space="preserve">     Anchor Material</t>
  </si>
  <si>
    <t xml:space="preserve">     Labor</t>
  </si>
  <si>
    <t xml:space="preserve">     Management</t>
  </si>
  <si>
    <t>Total Establishment Cost</t>
  </si>
  <si>
    <t>Total Land Preparation and</t>
  </si>
  <si>
    <t xml:space="preserve">     Establishment Costs</t>
  </si>
  <si>
    <t xml:space="preserve"> October-November of Previous Year</t>
  </si>
  <si>
    <t xml:space="preserve"> Custom hire </t>
  </si>
  <si>
    <t>Land Preparation</t>
  </si>
  <si>
    <t>Establishment</t>
  </si>
  <si>
    <t xml:space="preserve"> Includes benefits, social security, etc. for management personnel</t>
  </si>
  <si>
    <t xml:space="preserve"> Includes benefits, social security, etc. for administration personnel</t>
  </si>
  <si>
    <t>Budget Assumptions and Information</t>
  </si>
  <si>
    <t>1.</t>
  </si>
  <si>
    <t>2.</t>
  </si>
  <si>
    <t>3.</t>
  </si>
  <si>
    <t>4.</t>
  </si>
  <si>
    <t>5.</t>
  </si>
  <si>
    <t>6.</t>
  </si>
  <si>
    <t>7.</t>
  </si>
  <si>
    <t>8.</t>
  </si>
  <si>
    <t>The specifications for hop production are listed in the table below:</t>
  </si>
  <si>
    <t>Table 1. Hop Production Specifications</t>
  </si>
  <si>
    <t>Total production area</t>
  </si>
  <si>
    <t>660 acres</t>
  </si>
  <si>
    <t>Growing area</t>
  </si>
  <si>
    <t>600 acres</t>
  </si>
  <si>
    <t>In-row spacing</t>
  </si>
  <si>
    <t>3.5 feet</t>
  </si>
  <si>
    <t>Between row spacing</t>
  </si>
  <si>
    <t>14 feet</t>
  </si>
  <si>
    <t>Life of planting</t>
  </si>
  <si>
    <t>5 years</t>
  </si>
  <si>
    <t>9.</t>
  </si>
  <si>
    <t>2015 Cost Estimates of Establishing and Producing Hops in the Pacific Northwest</t>
  </si>
  <si>
    <t>Amortized Establishment Cost</t>
  </si>
  <si>
    <t>Alpha</t>
  </si>
  <si>
    <t>Aroma</t>
  </si>
  <si>
    <t>Estimated Production Level (Lb/acre)</t>
  </si>
  <si>
    <t>$70 per acre x 1.1 acres</t>
  </si>
  <si>
    <t>Notes:</t>
  </si>
  <si>
    <t xml:space="preserve">     Wire, cable and staples</t>
  </si>
  <si>
    <t>10 hours @ $20/hour</t>
  </si>
  <si>
    <t>Drying fuel</t>
  </si>
  <si>
    <t xml:space="preserve"> Includes gasoline, diesel, lubricants, propane</t>
  </si>
  <si>
    <t xml:space="preserve"> 6.5% of above variable costs x 6/12 (6 months)</t>
  </si>
  <si>
    <t xml:space="preserve"> 6.5% of land prep cost </t>
  </si>
  <si>
    <t xml:space="preserve">6.5% of above establishment costs </t>
  </si>
  <si>
    <t>$15,000 per acre x 5%</t>
  </si>
  <si>
    <t>Quantity</t>
  </si>
  <si>
    <t>Total Cost ($)</t>
  </si>
  <si>
    <t>Expected Useful Life (years)</t>
  </si>
  <si>
    <t>100-HP Wheel Tractor</t>
  </si>
  <si>
    <t>75-HP Wheel Tractor</t>
  </si>
  <si>
    <t>60-HP Wheel Tractor</t>
  </si>
  <si>
    <t>Tractor/Loader</t>
  </si>
  <si>
    <t>Tractor/Loader/Backhoe</t>
  </si>
  <si>
    <t>Hyster Loader</t>
  </si>
  <si>
    <t>Top Cutter</t>
  </si>
  <si>
    <t>Bottom Cutter</t>
  </si>
  <si>
    <t>Auger W/3 Bits/Skid steer</t>
  </si>
  <si>
    <t>Sled/Twining cart</t>
  </si>
  <si>
    <t>T-Bar with Shanks</t>
  </si>
  <si>
    <t>12' Cultivator</t>
  </si>
  <si>
    <t>Blast Sprayer</t>
  </si>
  <si>
    <t>Ground Sprayer</t>
  </si>
  <si>
    <t>Mechanical Pruner</t>
  </si>
  <si>
    <t>Wire/Tube Roller</t>
  </si>
  <si>
    <t>Manager's Pickup</t>
  </si>
  <si>
    <t xml:space="preserve">Foreman's Pickup </t>
  </si>
  <si>
    <t xml:space="preserve">Labor's Pickup </t>
  </si>
  <si>
    <t>4 Wheeler</t>
  </si>
  <si>
    <t xml:space="preserve">Service Truck </t>
  </si>
  <si>
    <t>Spreader Truck</t>
  </si>
  <si>
    <t>Flatbed truck - large</t>
  </si>
  <si>
    <t>Flatbed truck - small</t>
  </si>
  <si>
    <t>Miscellaneous/shop equipment</t>
  </si>
  <si>
    <t>Tools and supplies</t>
  </si>
  <si>
    <t>Total</t>
  </si>
  <si>
    <t>Interest rate</t>
  </si>
  <si>
    <t>Total farm area</t>
  </si>
  <si>
    <t>Irrigation system</t>
  </si>
  <si>
    <t>Machine Shop and Shed</t>
  </si>
  <si>
    <t>Depreciation cost of fixed capital</t>
  </si>
  <si>
    <t xml:space="preserve"> Includes machine, equipment, shop, office and irrigation infrastructure</t>
  </si>
  <si>
    <t>Interest cost of fixed capital</t>
  </si>
  <si>
    <t>Storage Shed (40 x 80)</t>
  </si>
  <si>
    <t>Hop trucks/trailers (used and fabricated)</t>
  </si>
  <si>
    <t>Depreciation ($)</t>
  </si>
  <si>
    <t>Interest ($)</t>
  </si>
  <si>
    <t xml:space="preserve">     Planting stock</t>
  </si>
  <si>
    <t xml:space="preserve">     Design</t>
  </si>
  <si>
    <t>1,800 lb per acre x 80%</t>
  </si>
  <si>
    <t>2,800 lb per acre x 20%</t>
  </si>
  <si>
    <t>Building/Machine/Equipment/ Irrigation</t>
  </si>
  <si>
    <t>Per Acre</t>
  </si>
  <si>
    <t>Year 1</t>
  </si>
  <si>
    <t>Year 1 ($/acre)</t>
  </si>
  <si>
    <t>Represents of the remaining years that the hop plants are in full production (i.e., Year 2 to Year 5).</t>
  </si>
  <si>
    <t xml:space="preserve">Calculate NPV </t>
  </si>
  <si>
    <t>Calculate Payback Period of Total Cash Costs</t>
  </si>
  <si>
    <t>Calculate Payback Period of Total Cost</t>
  </si>
  <si>
    <t>Gross Return</t>
  </si>
  <si>
    <t>Net Return</t>
  </si>
  <si>
    <t>Discounted Net Return</t>
  </si>
  <si>
    <t>Cumulative Discounted Net Return</t>
  </si>
  <si>
    <t>Prod area (acres)</t>
  </si>
  <si>
    <t>NPV</t>
  </si>
  <si>
    <t>Payback period (years)</t>
  </si>
  <si>
    <t>d. rate*</t>
  </si>
  <si>
    <t>Yield Year 1-Aroma</t>
  </si>
  <si>
    <t>Yield Year 1-Alpha</t>
  </si>
  <si>
    <t>Yield Full Prod -Aroma</t>
  </si>
  <si>
    <t>Yield Full Prod -Alpha</t>
  </si>
  <si>
    <t>Price per lb-Aroma</t>
  </si>
  <si>
    <t>Price per lb-Alpha</t>
  </si>
  <si>
    <t>Establishment Years</t>
  </si>
  <si>
    <t>Annual Requirements ($)</t>
  </si>
  <si>
    <t>Irrigation System</t>
  </si>
  <si>
    <t>Total Requirements ($)</t>
  </si>
  <si>
    <t>Receipts ($)</t>
  </si>
  <si>
    <t>Net Requirements ($)</t>
  </si>
  <si>
    <t>Land (660 acres)</t>
  </si>
  <si>
    <t xml:space="preserve">Machinery, Equipment, and Building </t>
  </si>
  <si>
    <t xml:space="preserve"> Year 0</t>
  </si>
  <si>
    <t>The representative farm has 660 acres devoted to hop production, with 600 acres in hops currently being established or currently producing. It takes 1.1 acres of land to establish 1 acre of hops. Thus, on this representative farm approximately 60 acres of land are needed for roads, buildings, picking equipment, etc. in support of hops production.</t>
  </si>
  <si>
    <t xml:space="preserve">The value of bare land is $15,000 per acre with property taxes of $70 per acre. </t>
  </si>
  <si>
    <t>A drip irrigation system costs $4,150 per acre ($2,650/acre material cost plus $1,500/acre installation cost).  The annual water charge is $95 per acre.</t>
  </si>
  <si>
    <t>The hop plants have a 5-year life.</t>
  </si>
  <si>
    <t>Management is valued at $250 per acre. This value is representative of what the producer committee felt was a fair return on an operator's management skills.</t>
  </si>
  <si>
    <t>The prevailing interest rate is 6.5% for a short-term loan, and 5% for a long-term loan.</t>
  </si>
  <si>
    <t>Instructions for Using the Spreadsheets</t>
  </si>
  <si>
    <t>The information in this publication serves as a general guide for a modern and well-managed hop farm as of 2015. To avoid unwarranted conclusions for any particular operation, closely examine the assumptions used. If they are not appropriate for your situation, adjust the costs and/or returns as appropriate.</t>
  </si>
  <si>
    <t>Your Costs</t>
  </si>
  <si>
    <t>Your Costs and Returns</t>
  </si>
  <si>
    <t>Table 2. Estimated Costs for Preparing and Establishing a Standard Trellis Hop Field under Drip Irrigation ($/acre)</t>
  </si>
  <si>
    <t>Table 3. Estimated Annual Costs and Returns of Producing Standard Trellis Hops under Drip Irrigation</t>
  </si>
  <si>
    <t>Interest</t>
  </si>
  <si>
    <t>Note: Shaded area denotes a positive profit based on the combination of yield and price.</t>
  </si>
  <si>
    <r>
      <t xml:space="preserve">Values in </t>
    </r>
    <r>
      <rPr>
        <sz val="11"/>
        <color rgb="FFC00000"/>
        <rFont val="Times New Roman"/>
        <family val="1"/>
      </rPr>
      <t>red</t>
    </r>
    <r>
      <rPr>
        <sz val="11"/>
        <color indexed="8"/>
        <rFont val="Times New Roman"/>
        <family val="1"/>
      </rPr>
      <t xml:space="preserve"> are provided by growers who participated in the development of this budget. These values can be changed.  Any modifications will affect the linked spreadsheets.</t>
    </r>
  </si>
  <si>
    <t>Appendix 3. Amortization Calculator</t>
  </si>
  <si>
    <t xml:space="preserve">   Interest rate</t>
  </si>
  <si>
    <t xml:space="preserve">   Amortized amount per year</t>
  </si>
  <si>
    <t>Appendix 1. Building, Machinery, Equipment, and Irrigation Requirements for a 660-acre Hop Yard</t>
  </si>
  <si>
    <t>Appendix 2. Summary of Annual Capital Requirements for a 600-Acre Hop Yard</t>
  </si>
  <si>
    <t>The hop yard is planted with 80% aroma varieties and 20% alpha varieties, which means 480 acres of aroma hops and 120 acres of alpha hops.</t>
  </si>
  <si>
    <t>The variety of hop to be grown is to be on a standard trellis and projected to have an average mature-year production of  1,800 lbs per acre for aroma varieties and 2,800 lbs per acre for alpha varieties. First year production is projected to be 80% of mature-year production.</t>
  </si>
  <si>
    <t>Cooling/Baling Room</t>
  </si>
  <si>
    <r>
      <t>Appendix 4. Net Present Value</t>
    </r>
    <r>
      <rPr>
        <b/>
        <vertAlign val="superscript"/>
        <sz val="13"/>
        <rFont val="Times New Roman"/>
        <family val="1"/>
      </rPr>
      <t>a</t>
    </r>
    <r>
      <rPr>
        <b/>
        <sz val="13"/>
        <rFont val="Times New Roman"/>
        <family val="1"/>
      </rPr>
      <t xml:space="preserve"> and Payback Period</t>
    </r>
    <r>
      <rPr>
        <b/>
        <vertAlign val="superscript"/>
        <sz val="13"/>
        <rFont val="Times New Roman"/>
        <family val="1"/>
      </rPr>
      <t>b</t>
    </r>
    <r>
      <rPr>
        <b/>
        <sz val="13"/>
        <rFont val="Times New Roman"/>
        <family val="1"/>
      </rPr>
      <t xml:space="preserve"> Calculators</t>
    </r>
  </si>
  <si>
    <r>
      <t xml:space="preserve">a. </t>
    </r>
    <r>
      <rPr>
        <b/>
        <sz val="11"/>
        <rFont val="Times New Roman"/>
        <family val="1"/>
      </rPr>
      <t>NPV</t>
    </r>
    <r>
      <rPr>
        <sz val="11"/>
        <rFont val="Times New Roman"/>
        <family val="1"/>
      </rPr>
      <t xml:space="preserve"> is the sum of the discounted cash flows from the first year to the last year of the planting’s productive life. Discounting is a method to estimate the present value of future payments by using a discount rate, which represents the time value of money or the opportunity cost of capital. </t>
    </r>
  </si>
  <si>
    <r>
      <t xml:space="preserve">b. The discounted </t>
    </r>
    <r>
      <rPr>
        <b/>
        <sz val="11"/>
        <rFont val="Times New Roman"/>
        <family val="1"/>
      </rPr>
      <t>payback period</t>
    </r>
    <r>
      <rPr>
        <sz val="11"/>
        <rFont val="Times New Roman"/>
        <family val="1"/>
      </rPr>
      <t xml:space="preserve"> gives the number of years it would take to recoup an investment from discounted cash flows.</t>
    </r>
  </si>
  <si>
    <r>
      <t xml:space="preserve">c. Each </t>
    </r>
    <r>
      <rPr>
        <b/>
        <sz val="11"/>
        <rFont val="Times New Roman"/>
        <family val="1"/>
      </rPr>
      <t>planting cycle</t>
    </r>
    <r>
      <rPr>
        <sz val="11"/>
        <rFont val="Times New Roman"/>
        <family val="1"/>
      </rPr>
      <t xml:space="preserve"> corresponds to a plant's productive life. In the baseline scenario, it is 5 years, after which the grower has to re-establish and replant.</t>
    </r>
  </si>
  <si>
    <r>
      <t xml:space="preserve">e. </t>
    </r>
    <r>
      <rPr>
        <b/>
        <sz val="11"/>
        <rFont val="Times New Roman"/>
        <family val="1"/>
      </rPr>
      <t>t</t>
    </r>
    <r>
      <rPr>
        <sz val="11"/>
        <rFont val="Times New Roman"/>
        <family val="1"/>
      </rPr>
      <t xml:space="preserve"> counts the number of years that the hop farm is in production, considering the planting cycles.</t>
    </r>
  </si>
  <si>
    <r>
      <t>t</t>
    </r>
    <r>
      <rPr>
        <b/>
        <vertAlign val="superscript"/>
        <sz val="11"/>
        <color theme="1"/>
        <rFont val="Times New Roman"/>
        <family val="1"/>
      </rPr>
      <t>e</t>
    </r>
  </si>
  <si>
    <r>
      <t>Year of Production</t>
    </r>
    <r>
      <rPr>
        <b/>
        <vertAlign val="superscript"/>
        <sz val="11"/>
        <color theme="1"/>
        <rFont val="Times New Roman"/>
        <family val="1"/>
      </rPr>
      <t>d</t>
    </r>
  </si>
  <si>
    <t>d. Per planting cycle, Year 0 refers to the establishment year. Year 1 through Year 5 refer to the cropping years.</t>
  </si>
  <si>
    <r>
      <t>Total Cost</t>
    </r>
    <r>
      <rPr>
        <b/>
        <vertAlign val="superscript"/>
        <sz val="11"/>
        <color theme="1"/>
        <rFont val="Times New Roman"/>
        <family val="1"/>
      </rPr>
      <t>f</t>
    </r>
  </si>
  <si>
    <t>f. Total cost = Total cash cost + management cost + fixed capital investment; excludes interest on operating capital and interest on fixed capital.</t>
  </si>
  <si>
    <r>
      <t>Planting Cycle 1</t>
    </r>
    <r>
      <rPr>
        <vertAlign val="superscript"/>
        <sz val="11"/>
        <color theme="1"/>
        <rFont val="Times New Roman"/>
        <family val="1"/>
      </rPr>
      <t>c</t>
    </r>
  </si>
  <si>
    <r>
      <t>Planting Cycle 2</t>
    </r>
    <r>
      <rPr>
        <vertAlign val="superscript"/>
        <sz val="11"/>
        <color theme="1"/>
        <rFont val="Times New Roman"/>
        <family val="1"/>
      </rPr>
      <t>c</t>
    </r>
  </si>
  <si>
    <r>
      <t>Planting Cycle 3</t>
    </r>
    <r>
      <rPr>
        <vertAlign val="superscript"/>
        <sz val="11"/>
        <color theme="1"/>
        <rFont val="Times New Roman"/>
        <family val="1"/>
      </rPr>
      <t>c</t>
    </r>
  </si>
  <si>
    <t>g. Cash costs = Total variable cost + Land &amp; property taxes + Insurance cost + Administration + Utilities + Overhead; Excludes interest on operating capital.</t>
  </si>
  <si>
    <r>
      <t>Cash Costs</t>
    </r>
    <r>
      <rPr>
        <b/>
        <vertAlign val="superscript"/>
        <sz val="11"/>
        <color theme="1"/>
        <rFont val="Times New Roman"/>
        <family val="1"/>
      </rPr>
      <t>g</t>
    </r>
  </si>
  <si>
    <r>
      <t>Mature production</t>
    </r>
    <r>
      <rPr>
        <b/>
        <vertAlign val="superscript"/>
        <sz val="11"/>
        <rFont val="Times New Roman"/>
        <family val="1"/>
      </rPr>
      <t>a</t>
    </r>
    <r>
      <rPr>
        <b/>
        <sz val="11"/>
        <rFont val="Times New Roman"/>
        <family val="1"/>
      </rPr>
      <t xml:space="preserve"> ($/acre)</t>
    </r>
  </si>
  <si>
    <r>
      <t>Amortized establishment cost</t>
    </r>
    <r>
      <rPr>
        <vertAlign val="superscript"/>
        <sz val="11"/>
        <color theme="1"/>
        <rFont val="Times New Roman"/>
        <family val="1"/>
      </rPr>
      <t>b</t>
    </r>
  </si>
  <si>
    <t xml:space="preserve">a.  </t>
  </si>
  <si>
    <t>b. Represents the cost incurred during the establishment years that must be recaptured during the mature production years in order for an enterprise to be profitable. It is calculated as accumulated establishment costs (Establishment and Year 1) amortized at 5% for 25 years.</t>
  </si>
  <si>
    <r>
      <t>Table 4. Estimated Net Returns</t>
    </r>
    <r>
      <rPr>
        <b/>
        <vertAlign val="superscript"/>
        <sz val="14"/>
        <color theme="1"/>
        <rFont val="Times New Roman"/>
        <family val="1"/>
      </rPr>
      <t>a</t>
    </r>
    <r>
      <rPr>
        <b/>
        <sz val="14"/>
        <color theme="1"/>
        <rFont val="Times New Roman"/>
        <family val="1"/>
      </rPr>
      <t xml:space="preserve"> Per Acre at Various Prices and Yields of Aroma Hops during Mature Production ($/acre)</t>
    </r>
  </si>
  <si>
    <r>
      <t>Yield (pounds per acre)</t>
    </r>
    <r>
      <rPr>
        <vertAlign val="superscript"/>
        <sz val="11"/>
        <rFont val="Times New Roman"/>
        <family val="1"/>
      </rPr>
      <t>b</t>
    </r>
  </si>
  <si>
    <r>
      <t>Price ($ per pound)</t>
    </r>
    <r>
      <rPr>
        <vertAlign val="superscript"/>
        <sz val="11"/>
        <rFont val="Times New Roman"/>
        <family val="1"/>
      </rPr>
      <t>c</t>
    </r>
  </si>
  <si>
    <t xml:space="preserve">a. Net return is what the grower receives after all production expenses have been accounted. </t>
  </si>
  <si>
    <t>b. Represents the average yield over 4 years of full production.</t>
  </si>
  <si>
    <t>c. Price represents gross return.</t>
  </si>
  <si>
    <t>Kiln</t>
  </si>
  <si>
    <r>
      <t>Picking Equipment</t>
    </r>
    <r>
      <rPr>
        <vertAlign val="superscript"/>
        <sz val="11"/>
        <rFont val="Times New Roman"/>
        <family val="1"/>
      </rPr>
      <t>a</t>
    </r>
  </si>
  <si>
    <t xml:space="preserve">a. Dauenhauer double recleaner picking machine. </t>
  </si>
  <si>
    <r>
      <t>Purchase Price ($/unit)</t>
    </r>
    <r>
      <rPr>
        <b/>
        <vertAlign val="superscript"/>
        <sz val="11"/>
        <color indexed="8"/>
        <rFont val="Times New Roman"/>
        <family val="1"/>
      </rPr>
      <t>b</t>
    </r>
  </si>
  <si>
    <r>
      <t>Total Salvage Value ($)</t>
    </r>
    <r>
      <rPr>
        <b/>
        <vertAlign val="superscript"/>
        <sz val="11"/>
        <color indexed="8"/>
        <rFont val="Times New Roman"/>
        <family val="1"/>
      </rPr>
      <t>c</t>
    </r>
  </si>
  <si>
    <t>b. Purchase price corresponds to new machine and equipment.</t>
  </si>
  <si>
    <t>c. Salvage Value refers to the estimated value of an asset at the end of its useful life. In general, a salvage value will be a positive value. However, it may be zero if the asset will be used until it is completely worn out and will have no scrap value at the end of its useful life.</t>
  </si>
  <si>
    <r>
      <t>Full Production</t>
    </r>
    <r>
      <rPr>
        <b/>
        <vertAlign val="superscript"/>
        <sz val="11"/>
        <rFont val="Times New Roman"/>
        <family val="1"/>
      </rPr>
      <t>a</t>
    </r>
  </si>
  <si>
    <r>
      <t>Operating Expenses</t>
    </r>
    <r>
      <rPr>
        <vertAlign val="superscript"/>
        <sz val="11"/>
        <rFont val="Times New Roman"/>
        <family val="1"/>
      </rPr>
      <t>b</t>
    </r>
  </si>
  <si>
    <r>
      <t>a.</t>
    </r>
    <r>
      <rPr>
        <vertAlign val="superscript"/>
        <sz val="10"/>
        <rFont val="Times New Roman"/>
        <family val="1"/>
      </rPr>
      <t xml:space="preserve"> </t>
    </r>
    <r>
      <rPr>
        <sz val="10"/>
        <rFont val="Times New Roman"/>
        <family val="1"/>
      </rPr>
      <t>Represents all the remaining years the hop plants are in full production (Year 2 to Year 5).</t>
    </r>
  </si>
  <si>
    <t>b. Operating expenses are the sum of the total variable costs, insurance cost, land and property taxes, management cost, administration, utilities and overhead.</t>
  </si>
  <si>
    <r>
      <t xml:space="preserve">   Dollar amount to be amortized</t>
    </r>
    <r>
      <rPr>
        <vertAlign val="superscript"/>
        <sz val="11"/>
        <color theme="1"/>
        <rFont val="Times New Roman"/>
        <family val="1"/>
      </rPr>
      <t>a</t>
    </r>
  </si>
  <si>
    <r>
      <t xml:space="preserve">   Number of years</t>
    </r>
    <r>
      <rPr>
        <vertAlign val="superscript"/>
        <sz val="11"/>
        <color theme="1"/>
        <rFont val="Times New Roman"/>
        <family val="1"/>
      </rPr>
      <t>b</t>
    </r>
  </si>
  <si>
    <t xml:space="preserve">b. Total productive life of the hop plants. </t>
  </si>
  <si>
    <t>a. Accumulated establishment costs (i.e., Add the costs in "Establishment tab" and Year 1 in "Hop Production tab" minus revenues during those years).</t>
  </si>
  <si>
    <t>Break-even Price ($/lb)</t>
  </si>
  <si>
    <r>
      <t xml:space="preserve">Values in </t>
    </r>
    <r>
      <rPr>
        <b/>
        <sz val="11"/>
        <rFont val="Times New Roman"/>
        <family val="1"/>
      </rPr>
      <t>black</t>
    </r>
    <r>
      <rPr>
        <sz val="11"/>
        <rFont val="Times New Roman"/>
        <family val="1"/>
      </rPr>
      <t xml:space="preserve"> are calculated using the input data and cannot be modified. This means that these calculations are protected in the spreadsheets. To make changes, click "Unprotect Sheet" under the Review tab (above). No password is needed.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</si>
</sst>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0.00_);\(&quot;$&quot;#,##0.00\)"/>
    <numFmt numFmtId="165" formatCode="&quot;$&quot;#,##0.00_);[Red]\(&quot;$&quot;#,##0.00\)"/>
    <numFmt numFmtId="166" formatCode="_(* #,##0.00_);_(* \(#,##0.00\);_(* &quot;-&quot;??_);_(@_)"/>
    <numFmt numFmtId="167" formatCode="&quot;$&quot;#,##0.00"/>
    <numFmt numFmtId="168" formatCode="&quot;$&quot;#,##0"/>
    <numFmt numFmtId="169" formatCode="&quot;$&quot;#,##0.0000"/>
    <numFmt numFmtId="170" formatCode="0.0%"/>
  </numFmts>
  <fonts count="36" x14ac:knownFonts="1">
    <font>
      <sz val="11"/>
      <color theme="1"/>
      <name val="Calibri"/>
      <family val="2"/>
      <scheme val="minor"/>
    </font>
    <font>
      <sz val="11"/>
      <color theme="1"/>
      <name val="Calibri"/>
      <family val="2"/>
      <scheme val="minor"/>
    </font>
    <font>
      <sz val="11"/>
      <name val="Times New Roman"/>
      <family val="1"/>
    </font>
    <font>
      <b/>
      <sz val="18"/>
      <name val="Times New Roman"/>
      <family val="1"/>
    </font>
    <font>
      <sz val="11"/>
      <color indexed="8"/>
      <name val="Times New Roman"/>
      <family val="1"/>
    </font>
    <font>
      <b/>
      <sz val="11"/>
      <name val="Times New Roman"/>
      <family val="1"/>
    </font>
    <font>
      <sz val="11"/>
      <color rgb="FFC00000"/>
      <name val="Times New Roman"/>
      <family val="1"/>
    </font>
    <font>
      <b/>
      <sz val="14"/>
      <name val="Times New Roman"/>
      <family val="1"/>
    </font>
    <font>
      <sz val="11"/>
      <color theme="1"/>
      <name val="Times New Roman"/>
      <family val="1"/>
    </font>
    <font>
      <b/>
      <i/>
      <sz val="11"/>
      <name val="Times New Roman"/>
      <family val="1"/>
    </font>
    <font>
      <sz val="14"/>
      <color theme="1"/>
      <name val="Times New Roman"/>
      <family val="1"/>
    </font>
    <font>
      <b/>
      <vertAlign val="superscript"/>
      <sz val="11"/>
      <name val="Times New Roman"/>
      <family val="1"/>
    </font>
    <font>
      <b/>
      <sz val="11"/>
      <color theme="1"/>
      <name val="Times New Roman"/>
      <family val="1"/>
    </font>
    <font>
      <b/>
      <i/>
      <sz val="11"/>
      <color theme="1"/>
      <name val="Times New Roman"/>
      <family val="1"/>
    </font>
    <font>
      <sz val="11"/>
      <color rgb="FFFF0000"/>
      <name val="Times New Roman"/>
      <family val="1"/>
    </font>
    <font>
      <vertAlign val="superscript"/>
      <sz val="11"/>
      <color theme="1"/>
      <name val="Times New Roman"/>
      <family val="1"/>
    </font>
    <font>
      <b/>
      <sz val="11"/>
      <color rgb="FFFF0000"/>
      <name val="Times New Roman"/>
      <family val="1"/>
    </font>
    <font>
      <sz val="10"/>
      <color theme="1"/>
      <name val="Times New Roman"/>
      <family val="1"/>
    </font>
    <font>
      <vertAlign val="superscript"/>
      <sz val="11"/>
      <name val="Times New Roman"/>
      <family val="1"/>
    </font>
    <font>
      <b/>
      <sz val="14"/>
      <color theme="1"/>
      <name val="Times New Roman"/>
      <family val="1"/>
    </font>
    <font>
      <b/>
      <vertAlign val="superscript"/>
      <sz val="14"/>
      <color theme="1"/>
      <name val="Times New Roman"/>
      <family val="1"/>
    </font>
    <font>
      <i/>
      <sz val="10"/>
      <color theme="1"/>
      <name val="Times New Roman"/>
      <family val="1"/>
    </font>
    <font>
      <i/>
      <sz val="10"/>
      <color rgb="FFC00000"/>
      <name val="Times New Roman"/>
      <family val="1"/>
    </font>
    <font>
      <sz val="10"/>
      <name val="Times New Roman"/>
      <family val="1"/>
    </font>
    <font>
      <sz val="11"/>
      <color theme="9" tint="-0.249977111117893"/>
      <name val="Times New Roman"/>
      <family val="1"/>
    </font>
    <font>
      <b/>
      <sz val="14"/>
      <color indexed="8"/>
      <name val="Times New Roman"/>
      <family val="1"/>
    </font>
    <font>
      <b/>
      <sz val="11"/>
      <color indexed="8"/>
      <name val="Times New Roman"/>
      <family val="1"/>
    </font>
    <font>
      <b/>
      <vertAlign val="superscript"/>
      <sz val="11"/>
      <color indexed="8"/>
      <name val="Times New Roman"/>
      <family val="1"/>
    </font>
    <font>
      <b/>
      <sz val="11"/>
      <color rgb="FFC00000"/>
      <name val="Times New Roman"/>
      <family val="1"/>
    </font>
    <font>
      <vertAlign val="superscript"/>
      <sz val="10"/>
      <name val="Times New Roman"/>
      <family val="1"/>
    </font>
    <font>
      <sz val="10"/>
      <color indexed="8"/>
      <name val="Times New Roman"/>
      <family val="1"/>
    </font>
    <font>
      <b/>
      <sz val="13"/>
      <name val="Times New Roman"/>
      <family val="1"/>
    </font>
    <font>
      <b/>
      <vertAlign val="superscript"/>
      <sz val="11"/>
      <color theme="1"/>
      <name val="Times New Roman"/>
      <family val="1"/>
    </font>
    <font>
      <sz val="11"/>
      <color theme="3"/>
      <name val="Times New Roman"/>
      <family val="1"/>
    </font>
    <font>
      <b/>
      <vertAlign val="superscript"/>
      <sz val="13"/>
      <name val="Times New Roman"/>
      <family val="1"/>
    </font>
    <font>
      <sz val="12"/>
      <name val="Times New Roman"/>
      <family val="1"/>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s>
  <borders count="14">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medium">
        <color auto="1"/>
      </bottom>
      <diagonal/>
    </border>
    <border>
      <left/>
      <right/>
      <top style="medium">
        <color auto="1"/>
      </top>
      <bottom/>
      <diagonal/>
    </border>
    <border>
      <left/>
      <right/>
      <top/>
      <bottom style="thin">
        <color theme="0" tint="-0.14996795556505021"/>
      </bottom>
      <diagonal/>
    </border>
    <border>
      <left/>
      <right/>
      <top style="thin">
        <color theme="0" tint="-0.14996795556505021"/>
      </top>
      <bottom style="thin">
        <color auto="1"/>
      </bottom>
      <diagonal/>
    </border>
  </borders>
  <cellStyleXfs count="2">
    <xf numFmtId="0" fontId="0" fillId="0" borderId="0"/>
    <xf numFmtId="9" fontId="1" fillId="0" borderId="0" applyFont="0" applyFill="0" applyBorder="0" applyAlignment="0" applyProtection="0"/>
  </cellStyleXfs>
  <cellXfs count="273">
    <xf numFmtId="0" fontId="0" fillId="0" borderId="0" xfId="0"/>
    <xf numFmtId="0" fontId="2" fillId="2" borderId="0" xfId="0" applyFont="1" applyFill="1"/>
    <xf numFmtId="0" fontId="4" fillId="3" borderId="0" xfId="0" applyFont="1" applyFill="1"/>
    <xf numFmtId="0" fontId="5" fillId="3" borderId="0" xfId="0" applyFont="1" applyFill="1"/>
    <xf numFmtId="0" fontId="2" fillId="3" borderId="0" xfId="0" applyFont="1" applyFill="1"/>
    <xf numFmtId="0" fontId="2" fillId="3" borderId="0" xfId="0" quotePrefix="1" applyFont="1" applyFill="1" applyBorder="1" applyAlignment="1">
      <alignment horizontal="right" indent="1"/>
    </xf>
    <xf numFmtId="0" fontId="4" fillId="3" borderId="0" xfId="0" quotePrefix="1" applyFont="1" applyFill="1" applyBorder="1" applyAlignment="1">
      <alignment horizontal="right" vertical="top" indent="1"/>
    </xf>
    <xf numFmtId="0" fontId="2" fillId="3" borderId="0" xfId="0" applyFont="1" applyFill="1" applyAlignment="1">
      <alignment horizontal="left" vertical="top" wrapText="1"/>
    </xf>
    <xf numFmtId="0" fontId="5" fillId="2" borderId="0" xfId="0" applyFont="1" applyFill="1" applyAlignment="1">
      <alignment vertical="top"/>
    </xf>
    <xf numFmtId="0" fontId="5" fillId="2" borderId="0" xfId="0" applyFont="1" applyFill="1"/>
    <xf numFmtId="0" fontId="2" fillId="2" borderId="0" xfId="0" quotePrefix="1" applyFont="1" applyFill="1" applyBorder="1" applyAlignment="1">
      <alignment horizontal="right" vertical="top"/>
    </xf>
    <xf numFmtId="0" fontId="2" fillId="2" borderId="0" xfId="0" applyFont="1" applyFill="1" applyAlignment="1">
      <alignment vertical="top"/>
    </xf>
    <xf numFmtId="0" fontId="2" fillId="2" borderId="0" xfId="0" quotePrefix="1" applyFont="1" applyFill="1" applyAlignment="1">
      <alignment horizontal="right" vertical="top"/>
    </xf>
    <xf numFmtId="0" fontId="2" fillId="2" borderId="0" xfId="0" applyFont="1" applyFill="1" applyBorder="1" applyAlignment="1">
      <alignment vertical="top"/>
    </xf>
    <xf numFmtId="0" fontId="2" fillId="2" borderId="0" xfId="0" applyFont="1" applyFill="1" applyBorder="1" applyAlignment="1">
      <alignment vertical="top" wrapText="1"/>
    </xf>
    <xf numFmtId="0" fontId="5" fillId="3" borderId="0" xfId="0" applyFont="1" applyFill="1" applyBorder="1" applyAlignment="1">
      <alignment horizontal="left"/>
    </xf>
    <xf numFmtId="0" fontId="2" fillId="2" borderId="0" xfId="0" applyFont="1" applyFill="1" applyBorder="1"/>
    <xf numFmtId="0" fontId="2" fillId="2" borderId="1" xfId="0" applyFont="1" applyFill="1" applyBorder="1"/>
    <xf numFmtId="0" fontId="6" fillId="2" borderId="0" xfId="0" applyFont="1" applyFill="1"/>
    <xf numFmtId="0" fontId="6" fillId="2" borderId="1" xfId="0" applyFont="1" applyFill="1" applyBorder="1"/>
    <xf numFmtId="0" fontId="8" fillId="2" borderId="0" xfId="0" applyFont="1" applyFill="1" applyBorder="1"/>
    <xf numFmtId="0" fontId="8" fillId="2" borderId="0" xfId="0" applyFont="1" applyFill="1"/>
    <xf numFmtId="0" fontId="2" fillId="2" borderId="3" xfId="0" applyFont="1" applyFill="1" applyBorder="1" applyAlignment="1" applyProtection="1"/>
    <xf numFmtId="0" fontId="5" fillId="2" borderId="3" xfId="0" applyFont="1" applyFill="1" applyBorder="1" applyAlignment="1" applyProtection="1">
      <alignment horizontal="center" wrapText="1"/>
    </xf>
    <xf numFmtId="0" fontId="5" fillId="2" borderId="3" xfId="0" applyFont="1" applyFill="1" applyBorder="1" applyAlignment="1" applyProtection="1">
      <alignment horizontal="left"/>
    </xf>
    <xf numFmtId="0" fontId="6" fillId="2" borderId="3" xfId="0" applyFont="1" applyFill="1" applyBorder="1" applyAlignment="1">
      <alignment horizontal="center"/>
    </xf>
    <xf numFmtId="0" fontId="5" fillId="2" borderId="0" xfId="0" applyFont="1" applyFill="1" applyBorder="1" applyAlignment="1"/>
    <xf numFmtId="0" fontId="5" fillId="2" borderId="0" xfId="0" applyFont="1" applyFill="1" applyBorder="1" applyAlignment="1" applyProtection="1">
      <alignment horizontal="center"/>
    </xf>
    <xf numFmtId="0" fontId="2" fillId="2" borderId="0" xfId="0" applyFont="1" applyFill="1" applyBorder="1" applyAlignment="1" applyProtection="1">
      <protection locked="0"/>
    </xf>
    <xf numFmtId="0" fontId="8" fillId="2" borderId="12" xfId="0" applyFont="1" applyFill="1" applyBorder="1"/>
    <xf numFmtId="0" fontId="2" fillId="2" borderId="0" xfId="0" applyFont="1" applyFill="1" applyBorder="1" applyAlignment="1">
      <alignment horizontal="left"/>
    </xf>
    <xf numFmtId="0" fontId="9" fillId="2" borderId="0" xfId="0" applyFont="1" applyFill="1" applyBorder="1" applyAlignment="1"/>
    <xf numFmtId="167" fontId="9" fillId="2" borderId="0" xfId="0" applyNumberFormat="1" applyFont="1" applyFill="1" applyBorder="1"/>
    <xf numFmtId="2" fontId="2" fillId="2" borderId="0" xfId="0" applyNumberFormat="1" applyFont="1" applyFill="1" applyBorder="1" applyProtection="1"/>
    <xf numFmtId="167" fontId="2" fillId="2" borderId="0" xfId="0" applyNumberFormat="1" applyFont="1" applyFill="1" applyBorder="1" applyProtection="1"/>
    <xf numFmtId="2" fontId="2" fillId="2" borderId="0" xfId="0" applyNumberFormat="1" applyFont="1" applyFill="1" applyBorder="1" applyProtection="1">
      <protection locked="0"/>
    </xf>
    <xf numFmtId="0" fontId="9" fillId="2" borderId="0" xfId="0" applyFont="1" applyFill="1" applyBorder="1"/>
    <xf numFmtId="0" fontId="2" fillId="2" borderId="0" xfId="0" applyFont="1" applyFill="1" applyBorder="1" applyProtection="1"/>
    <xf numFmtId="0" fontId="5" fillId="2" borderId="0" xfId="0" applyFont="1" applyFill="1" applyBorder="1"/>
    <xf numFmtId="167" fontId="5" fillId="2" borderId="0" xfId="0" applyNumberFormat="1" applyFont="1" applyFill="1" applyBorder="1" applyProtection="1"/>
    <xf numFmtId="0" fontId="2" fillId="2" borderId="0" xfId="0" applyFont="1" applyFill="1" applyBorder="1" applyProtection="1">
      <protection locked="0"/>
    </xf>
    <xf numFmtId="2" fontId="2" fillId="2" borderId="1" xfId="0" applyNumberFormat="1" applyFont="1" applyFill="1" applyBorder="1"/>
    <xf numFmtId="0" fontId="8" fillId="2" borderId="13" xfId="0" applyFont="1" applyFill="1" applyBorder="1"/>
    <xf numFmtId="2" fontId="8" fillId="2" borderId="0" xfId="0" applyNumberFormat="1" applyFont="1" applyFill="1"/>
    <xf numFmtId="0" fontId="8" fillId="2" borderId="0" xfId="0" applyFont="1" applyFill="1" applyAlignment="1">
      <alignment horizontal="right"/>
    </xf>
    <xf numFmtId="0" fontId="8" fillId="2" borderId="3" xfId="0" applyFont="1" applyFill="1" applyBorder="1" applyProtection="1"/>
    <xf numFmtId="0" fontId="5" fillId="2" borderId="3" xfId="0" applyFont="1" applyFill="1" applyBorder="1" applyAlignment="1" applyProtection="1">
      <alignment horizontal="right" wrapText="1"/>
    </xf>
    <xf numFmtId="0" fontId="6" fillId="2" borderId="3" xfId="0" applyFont="1" applyFill="1" applyBorder="1" applyAlignment="1">
      <alignment horizontal="center" wrapText="1"/>
    </xf>
    <xf numFmtId="0" fontId="12" fillId="2" borderId="0" xfId="0" applyFont="1" applyFill="1" applyBorder="1" applyAlignment="1"/>
    <xf numFmtId="2" fontId="5" fillId="2" borderId="0" xfId="0" applyNumberFormat="1" applyFont="1" applyFill="1" applyBorder="1" applyAlignment="1" applyProtection="1">
      <alignment horizontal="right"/>
    </xf>
    <xf numFmtId="1" fontId="8" fillId="2" borderId="0" xfId="0" applyNumberFormat="1" applyFont="1" applyFill="1" applyBorder="1" applyAlignment="1" applyProtection="1"/>
    <xf numFmtId="0" fontId="8" fillId="2" borderId="0" xfId="0" applyFont="1" applyFill="1" applyBorder="1" applyAlignment="1"/>
    <xf numFmtId="167" fontId="6" fillId="2" borderId="0" xfId="0" applyNumberFormat="1" applyFont="1" applyFill="1" applyBorder="1" applyAlignment="1"/>
    <xf numFmtId="167" fontId="6" fillId="2" borderId="0" xfId="0" applyNumberFormat="1" applyFont="1" applyFill="1" applyBorder="1" applyAlignment="1" applyProtection="1">
      <alignment horizontal="right"/>
      <protection locked="0"/>
    </xf>
    <xf numFmtId="2" fontId="8" fillId="2" borderId="0" xfId="0" applyNumberFormat="1" applyFont="1" applyFill="1" applyBorder="1" applyAlignment="1" applyProtection="1">
      <protection locked="0"/>
    </xf>
    <xf numFmtId="0" fontId="2" fillId="2" borderId="0" xfId="0" applyFont="1" applyFill="1" applyBorder="1" applyAlignment="1"/>
    <xf numFmtId="2" fontId="8" fillId="2" borderId="0" xfId="0" applyNumberFormat="1" applyFont="1" applyFill="1" applyBorder="1" applyAlignment="1" applyProtection="1">
      <alignment horizontal="left"/>
      <protection locked="0"/>
    </xf>
    <xf numFmtId="0" fontId="2" fillId="2" borderId="0" xfId="0" applyNumberFormat="1" applyFont="1" applyFill="1" applyBorder="1" applyAlignment="1" applyProtection="1">
      <protection locked="0"/>
    </xf>
    <xf numFmtId="167" fontId="13" fillId="2" borderId="0" xfId="0" applyNumberFormat="1" applyFont="1" applyFill="1" applyBorder="1" applyAlignment="1">
      <alignment horizontal="right"/>
    </xf>
    <xf numFmtId="0" fontId="8" fillId="2" borderId="0" xfId="0" applyFont="1" applyFill="1" applyBorder="1" applyProtection="1"/>
    <xf numFmtId="167" fontId="8" fillId="2" borderId="0" xfId="0" applyNumberFormat="1" applyFont="1" applyFill="1" applyBorder="1" applyProtection="1"/>
    <xf numFmtId="167" fontId="8" fillId="2" borderId="0" xfId="0" applyNumberFormat="1" applyFont="1" applyFill="1" applyBorder="1" applyAlignment="1" applyProtection="1">
      <alignment horizontal="right"/>
    </xf>
    <xf numFmtId="2" fontId="8" fillId="2" borderId="0" xfId="0" applyNumberFormat="1" applyFont="1" applyFill="1" applyBorder="1" applyAlignment="1" applyProtection="1"/>
    <xf numFmtId="167" fontId="12" fillId="2" borderId="0" xfId="0" applyNumberFormat="1" applyFont="1" applyFill="1" applyBorder="1" applyAlignment="1"/>
    <xf numFmtId="167" fontId="6" fillId="2" borderId="0" xfId="0" applyNumberFormat="1" applyFont="1" applyFill="1" applyBorder="1" applyAlignment="1" applyProtection="1">
      <alignment horizontal="right"/>
    </xf>
    <xf numFmtId="2" fontId="2" fillId="2" borderId="0" xfId="0" applyNumberFormat="1" applyFont="1" applyFill="1" applyBorder="1" applyAlignment="1" applyProtection="1">
      <protection locked="0"/>
    </xf>
    <xf numFmtId="0" fontId="14" fillId="2" borderId="0" xfId="0" applyFont="1" applyFill="1"/>
    <xf numFmtId="0" fontId="8" fillId="2" borderId="0" xfId="0" applyFont="1" applyFill="1" applyBorder="1" applyAlignment="1" applyProtection="1">
      <protection locked="0"/>
    </xf>
    <xf numFmtId="167" fontId="13" fillId="2" borderId="0" xfId="0" applyNumberFormat="1" applyFont="1" applyFill="1" applyBorder="1" applyAlignment="1" applyProtection="1">
      <alignment horizontal="right"/>
    </xf>
    <xf numFmtId="167" fontId="8" fillId="2" borderId="0" xfId="0" applyNumberFormat="1" applyFont="1" applyFill="1" applyBorder="1" applyAlignment="1"/>
    <xf numFmtId="167" fontId="12" fillId="2" borderId="0" xfId="0" applyNumberFormat="1" applyFont="1" applyFill="1" applyBorder="1" applyAlignment="1" applyProtection="1">
      <alignment horizontal="right"/>
    </xf>
    <xf numFmtId="4" fontId="8" fillId="2" borderId="0" xfId="0" applyNumberFormat="1" applyFont="1" applyFill="1" applyBorder="1" applyAlignment="1" applyProtection="1">
      <alignment horizontal="right"/>
    </xf>
    <xf numFmtId="4" fontId="16" fillId="2" borderId="0" xfId="0" applyNumberFormat="1" applyFont="1" applyFill="1" applyBorder="1" applyAlignment="1" applyProtection="1">
      <alignment horizontal="right"/>
    </xf>
    <xf numFmtId="3" fontId="8" fillId="2" borderId="0" xfId="0" applyNumberFormat="1" applyFont="1" applyFill="1" applyBorder="1" applyAlignment="1" applyProtection="1">
      <alignment horizontal="left"/>
      <protection locked="0"/>
    </xf>
    <xf numFmtId="0" fontId="12" fillId="2" borderId="0" xfId="0" applyFont="1" applyFill="1" applyBorder="1" applyAlignment="1" applyProtection="1"/>
    <xf numFmtId="167" fontId="12" fillId="2" borderId="0" xfId="0" applyNumberFormat="1" applyFont="1" applyFill="1" applyBorder="1" applyAlignment="1" applyProtection="1"/>
    <xf numFmtId="0" fontId="8" fillId="2" borderId="1" xfId="0" applyFont="1" applyFill="1" applyBorder="1"/>
    <xf numFmtId="0" fontId="8" fillId="2" borderId="1" xfId="0" applyFont="1" applyFill="1" applyBorder="1" applyAlignment="1">
      <alignment horizontal="right"/>
    </xf>
    <xf numFmtId="0" fontId="17" fillId="2" borderId="0" xfId="0" applyFont="1" applyFill="1"/>
    <xf numFmtId="167" fontId="8" fillId="2" borderId="0" xfId="0" applyNumberFormat="1" applyFont="1" applyFill="1" applyAlignment="1">
      <alignment horizontal="right"/>
    </xf>
    <xf numFmtId="3" fontId="6" fillId="2" borderId="0" xfId="0" applyNumberFormat="1" applyFont="1" applyFill="1" applyBorder="1" applyAlignment="1"/>
    <xf numFmtId="3" fontId="6" fillId="2" borderId="0" xfId="0" applyNumberFormat="1" applyFont="1" applyFill="1" applyBorder="1" applyAlignment="1" applyProtection="1">
      <alignment horizontal="right"/>
    </xf>
    <xf numFmtId="0" fontId="2" fillId="2" borderId="0" xfId="0" applyFont="1" applyFill="1" applyBorder="1" applyAlignment="1">
      <alignment horizontal="center" wrapText="1"/>
    </xf>
    <xf numFmtId="164" fontId="6" fillId="2" borderId="1" xfId="0" applyNumberFormat="1" applyFont="1" applyFill="1" applyBorder="1"/>
    <xf numFmtId="3" fontId="6" fillId="2" borderId="0" xfId="0" applyNumberFormat="1" applyFont="1" applyFill="1" applyBorder="1" applyAlignment="1">
      <alignment horizontal="center"/>
    </xf>
    <xf numFmtId="168" fontId="2" fillId="2" borderId="0" xfId="0" applyNumberFormat="1" applyFont="1" applyFill="1" applyBorder="1"/>
    <xf numFmtId="168" fontId="2" fillId="4" borderId="0" xfId="0" applyNumberFormat="1" applyFont="1" applyFill="1" applyBorder="1"/>
    <xf numFmtId="0" fontId="21" fillId="2" borderId="3" xfId="0" applyFont="1" applyFill="1" applyBorder="1"/>
    <xf numFmtId="170" fontId="22" fillId="2" borderId="3" xfId="1" applyNumberFormat="1" applyFont="1" applyFill="1" applyBorder="1" applyAlignment="1">
      <alignment horizontal="left"/>
    </xf>
    <xf numFmtId="0" fontId="23" fillId="2" borderId="0" xfId="0" applyFont="1" applyFill="1" applyBorder="1" applyAlignment="1" applyProtection="1">
      <alignment horizontal="left"/>
      <protection locked="0"/>
    </xf>
    <xf numFmtId="9" fontId="24" fillId="2" borderId="0" xfId="0" applyNumberFormat="1" applyFont="1" applyFill="1" applyBorder="1" applyAlignment="1">
      <alignment horizontal="left"/>
    </xf>
    <xf numFmtId="0" fontId="23" fillId="2" borderId="0" xfId="0" applyFont="1" applyFill="1"/>
    <xf numFmtId="167" fontId="8" fillId="2" borderId="0" xfId="0" applyNumberFormat="1" applyFont="1" applyFill="1"/>
    <xf numFmtId="169" fontId="8" fillId="2" borderId="0" xfId="0" applyNumberFormat="1" applyFont="1" applyFill="1"/>
    <xf numFmtId="167" fontId="6" fillId="2" borderId="0" xfId="0" applyNumberFormat="1" applyFont="1" applyFill="1" applyBorder="1" applyProtection="1">
      <protection locked="0"/>
    </xf>
    <xf numFmtId="0" fontId="8" fillId="2" borderId="0" xfId="0" applyFont="1" applyFill="1" applyAlignment="1">
      <alignment horizontal="center"/>
    </xf>
    <xf numFmtId="0" fontId="4" fillId="2" borderId="0" xfId="0" applyFont="1" applyFill="1" applyBorder="1" applyAlignment="1">
      <alignment vertical="top" wrapText="1"/>
    </xf>
    <xf numFmtId="0" fontId="4" fillId="2" borderId="0" xfId="0" applyFont="1" applyFill="1" applyBorder="1" applyAlignment="1">
      <alignment horizontal="center" vertical="top" wrapText="1"/>
    </xf>
    <xf numFmtId="168" fontId="6" fillId="2" borderId="0" xfId="0" applyNumberFormat="1" applyFont="1" applyFill="1" applyBorder="1" applyAlignment="1">
      <alignment horizontal="center" wrapText="1"/>
    </xf>
    <xf numFmtId="168" fontId="2" fillId="2" borderId="0" xfId="0" applyNumberFormat="1" applyFont="1" applyFill="1" applyBorder="1" applyAlignment="1">
      <alignment horizontal="center" wrapText="1"/>
    </xf>
    <xf numFmtId="3" fontId="6" fillId="2" borderId="0" xfId="0" applyNumberFormat="1" applyFont="1" applyFill="1" applyBorder="1" applyAlignment="1">
      <alignment horizontal="center" wrapText="1"/>
    </xf>
    <xf numFmtId="0" fontId="2" fillId="2" borderId="0" xfId="0" applyFont="1" applyFill="1" applyBorder="1" applyAlignment="1">
      <alignment horizontal="left" wrapText="1"/>
    </xf>
    <xf numFmtId="9" fontId="8" fillId="2" borderId="0" xfId="1" applyFont="1" applyFill="1"/>
    <xf numFmtId="0" fontId="4" fillId="2" borderId="0" xfId="0" applyFont="1" applyFill="1" applyBorder="1" applyAlignment="1"/>
    <xf numFmtId="0" fontId="4" fillId="2" borderId="0" xfId="0" applyFont="1" applyFill="1" applyBorder="1" applyAlignment="1">
      <alignment horizontal="center"/>
    </xf>
    <xf numFmtId="0" fontId="26" fillId="2" borderId="0" xfId="0" applyFont="1" applyFill="1" applyBorder="1" applyAlignment="1"/>
    <xf numFmtId="0" fontId="26" fillId="2" borderId="0" xfId="0" applyFont="1" applyFill="1" applyBorder="1" applyAlignment="1">
      <alignment horizontal="center"/>
    </xf>
    <xf numFmtId="3" fontId="28" fillId="2" borderId="0" xfId="0" applyNumberFormat="1" applyFont="1" applyFill="1" applyBorder="1" applyAlignment="1">
      <alignment horizontal="center" wrapText="1"/>
    </xf>
    <xf numFmtId="3" fontId="5" fillId="2" borderId="0" xfId="0" applyNumberFormat="1" applyFont="1" applyFill="1" applyBorder="1" applyAlignment="1">
      <alignment horizontal="center" wrapText="1"/>
    </xf>
    <xf numFmtId="3" fontId="28" fillId="2" borderId="0" xfId="0" applyNumberFormat="1" applyFont="1" applyFill="1" applyBorder="1" applyAlignment="1">
      <alignment horizontal="right" wrapText="1"/>
    </xf>
    <xf numFmtId="168" fontId="28" fillId="2" borderId="0" xfId="0" applyNumberFormat="1" applyFont="1" applyFill="1" applyBorder="1" applyAlignment="1">
      <alignment horizontal="right" wrapText="1"/>
    </xf>
    <xf numFmtId="168" fontId="5" fillId="2" borderId="0" xfId="0" applyNumberFormat="1" applyFont="1" applyFill="1" applyBorder="1" applyAlignment="1">
      <alignment horizontal="center" wrapText="1"/>
    </xf>
    <xf numFmtId="0" fontId="26" fillId="2" borderId="1" xfId="0" applyFont="1" applyFill="1" applyBorder="1" applyAlignment="1"/>
    <xf numFmtId="0" fontId="26" fillId="2" borderId="1" xfId="0" applyFont="1" applyFill="1" applyBorder="1" applyAlignment="1">
      <alignment horizontal="center"/>
    </xf>
    <xf numFmtId="3" fontId="28" fillId="2" borderId="1" xfId="0" applyNumberFormat="1" applyFont="1" applyFill="1" applyBorder="1" applyAlignment="1">
      <alignment horizontal="center" wrapText="1"/>
    </xf>
    <xf numFmtId="3" fontId="28" fillId="2" borderId="1" xfId="0" applyNumberFormat="1" applyFont="1" applyFill="1" applyBorder="1" applyAlignment="1">
      <alignment horizontal="right" wrapText="1"/>
    </xf>
    <xf numFmtId="168" fontId="28" fillId="2" borderId="1" xfId="0" applyNumberFormat="1" applyFont="1" applyFill="1" applyBorder="1" applyAlignment="1">
      <alignment horizontal="right" wrapText="1"/>
    </xf>
    <xf numFmtId="168" fontId="5" fillId="2" borderId="1" xfId="0" applyNumberFormat="1" applyFont="1" applyFill="1" applyBorder="1" applyAlignment="1">
      <alignment horizontal="center" wrapText="1"/>
    </xf>
    <xf numFmtId="3" fontId="6" fillId="2" borderId="0" xfId="0" applyNumberFormat="1" applyFont="1" applyFill="1" applyBorder="1" applyAlignment="1">
      <alignment horizontal="right" wrapText="1"/>
    </xf>
    <xf numFmtId="0" fontId="4" fillId="2" borderId="1" xfId="0" applyFont="1" applyFill="1" applyBorder="1" applyAlignment="1"/>
    <xf numFmtId="3" fontId="6" fillId="2" borderId="1" xfId="0" applyNumberFormat="1" applyFont="1" applyFill="1" applyBorder="1" applyAlignment="1">
      <alignment horizontal="center" wrapText="1"/>
    </xf>
    <xf numFmtId="3" fontId="6" fillId="2" borderId="1" xfId="0" applyNumberFormat="1" applyFont="1" applyFill="1" applyBorder="1" applyAlignment="1">
      <alignment horizontal="right" wrapText="1"/>
    </xf>
    <xf numFmtId="0" fontId="2" fillId="3" borderId="0" xfId="0" applyFont="1" applyFill="1" applyAlignment="1">
      <alignment horizontal="center"/>
    </xf>
    <xf numFmtId="0" fontId="2" fillId="3" borderId="2" xfId="0" applyFont="1" applyFill="1" applyBorder="1"/>
    <xf numFmtId="0" fontId="2" fillId="3" borderId="1" xfId="0" applyFont="1" applyFill="1" applyBorder="1"/>
    <xf numFmtId="0" fontId="5" fillId="3" borderId="1" xfId="0" applyFont="1" applyFill="1" applyBorder="1" applyAlignment="1">
      <alignment horizontal="center"/>
    </xf>
    <xf numFmtId="0" fontId="2" fillId="3" borderId="0" xfId="0" quotePrefix="1" applyFont="1" applyFill="1"/>
    <xf numFmtId="0" fontId="5" fillId="3" borderId="0" xfId="0" applyFont="1" applyFill="1" applyBorder="1"/>
    <xf numFmtId="0" fontId="2" fillId="3" borderId="0" xfId="0" applyFont="1" applyFill="1" applyBorder="1" applyAlignment="1">
      <alignment horizontal="center"/>
    </xf>
    <xf numFmtId="0" fontId="2" fillId="3" borderId="0" xfId="0" applyFont="1" applyFill="1" applyAlignment="1">
      <alignment horizontal="left" indent="1"/>
    </xf>
    <xf numFmtId="166" fontId="2" fillId="3" borderId="0" xfId="0" applyNumberFormat="1" applyFont="1" applyFill="1"/>
    <xf numFmtId="0" fontId="5" fillId="3" borderId="0" xfId="0" applyFont="1" applyFill="1" applyAlignment="1">
      <alignment horizontal="left"/>
    </xf>
    <xf numFmtId="39" fontId="2" fillId="3" borderId="0" xfId="0" applyNumberFormat="1" applyFont="1" applyFill="1"/>
    <xf numFmtId="0" fontId="5" fillId="3" borderId="1" xfId="0" applyFont="1" applyFill="1" applyBorder="1"/>
    <xf numFmtId="39" fontId="2" fillId="3" borderId="1" xfId="0" applyNumberFormat="1" applyFont="1" applyFill="1" applyBorder="1"/>
    <xf numFmtId="0" fontId="23" fillId="3" borderId="0" xfId="0" applyFont="1" applyFill="1"/>
    <xf numFmtId="0" fontId="23" fillId="3" borderId="0" xfId="0" applyFont="1" applyFill="1" applyBorder="1"/>
    <xf numFmtId="0" fontId="7" fillId="3" borderId="0" xfId="0" applyFont="1" applyFill="1" applyBorder="1" applyAlignment="1">
      <alignment wrapText="1"/>
    </xf>
    <xf numFmtId="4" fontId="2" fillId="3" borderId="0" xfId="0" applyNumberFormat="1" applyFont="1" applyFill="1"/>
    <xf numFmtId="4" fontId="2" fillId="3" borderId="0" xfId="0" applyNumberFormat="1" applyFont="1" applyFill="1" applyAlignment="1">
      <alignment horizontal="right" vertical="center" indent="2"/>
    </xf>
    <xf numFmtId="2" fontId="2" fillId="3" borderId="0" xfId="0" applyNumberFormat="1" applyFont="1" applyFill="1"/>
    <xf numFmtId="0" fontId="6" fillId="3" borderId="0" xfId="0" applyFont="1" applyFill="1" applyAlignment="1">
      <alignment vertical="top" wrapText="1"/>
    </xf>
    <xf numFmtId="166" fontId="6" fillId="3" borderId="0" xfId="0" applyNumberFormat="1" applyFont="1" applyFill="1" applyAlignment="1">
      <alignment vertical="top"/>
    </xf>
    <xf numFmtId="0" fontId="2" fillId="3" borderId="0" xfId="0" applyFont="1" applyFill="1" applyAlignment="1">
      <alignment vertical="top"/>
    </xf>
    <xf numFmtId="0" fontId="2" fillId="3" borderId="0" xfId="0" applyFont="1" applyFill="1" applyBorder="1"/>
    <xf numFmtId="4" fontId="2" fillId="3" borderId="0" xfId="0" applyNumberFormat="1" applyFont="1" applyFill="1" applyBorder="1" applyAlignment="1">
      <alignment horizontal="right" vertical="center" indent="2"/>
    </xf>
    <xf numFmtId="0" fontId="2" fillId="2" borderId="0" xfId="0" applyFont="1" applyFill="1" applyProtection="1">
      <protection locked="0"/>
    </xf>
    <xf numFmtId="0" fontId="8" fillId="2" borderId="0" xfId="0" applyFont="1" applyFill="1" applyProtection="1">
      <protection locked="0"/>
    </xf>
    <xf numFmtId="0" fontId="7" fillId="2" borderId="0" xfId="0" applyFont="1" applyFill="1" applyAlignment="1" applyProtection="1">
      <alignment horizontal="left"/>
      <protection locked="0"/>
    </xf>
    <xf numFmtId="0" fontId="8" fillId="2" borderId="0" xfId="0" applyFont="1" applyFill="1" applyAlignment="1" applyProtection="1">
      <alignment horizontal="left"/>
      <protection locked="0"/>
    </xf>
    <xf numFmtId="0" fontId="8" fillId="2" borderId="0" xfId="0" applyFont="1" applyFill="1" applyBorder="1" applyProtection="1">
      <protection locked="0"/>
    </xf>
    <xf numFmtId="167" fontId="8" fillId="2" borderId="0" xfId="0" applyNumberFormat="1" applyFont="1" applyFill="1" applyBorder="1" applyProtection="1">
      <protection locked="0"/>
    </xf>
    <xf numFmtId="1" fontId="6" fillId="2" borderId="0" xfId="0" applyNumberFormat="1" applyFont="1" applyFill="1" applyBorder="1" applyProtection="1">
      <protection locked="0"/>
    </xf>
    <xf numFmtId="10" fontId="6" fillId="2" borderId="0" xfId="0" applyNumberFormat="1" applyFont="1" applyFill="1" applyBorder="1" applyProtection="1">
      <protection locked="0"/>
    </xf>
    <xf numFmtId="0" fontId="8" fillId="2" borderId="1" xfId="0" applyFont="1" applyFill="1" applyBorder="1" applyProtection="1">
      <protection locked="0"/>
    </xf>
    <xf numFmtId="167" fontId="8" fillId="2" borderId="1" xfId="0" applyNumberFormat="1" applyFont="1" applyFill="1" applyBorder="1" applyProtection="1"/>
    <xf numFmtId="0" fontId="17" fillId="2" borderId="0" xfId="0" applyFont="1" applyFill="1" applyBorder="1" applyProtection="1">
      <protection locked="0"/>
    </xf>
    <xf numFmtId="0" fontId="30" fillId="3" borderId="0" xfId="0" applyFont="1" applyFill="1"/>
    <xf numFmtId="0" fontId="31" fillId="2" borderId="0" xfId="0" applyFont="1" applyFill="1" applyBorder="1" applyAlignment="1">
      <alignment vertical="top"/>
    </xf>
    <xf numFmtId="0" fontId="8" fillId="2" borderId="0" xfId="0" applyFont="1" applyFill="1" applyAlignment="1">
      <alignment horizontal="left"/>
    </xf>
    <xf numFmtId="0" fontId="12" fillId="2" borderId="0" xfId="0" applyFont="1" applyFill="1" applyAlignment="1">
      <alignment horizontal="left" vertical="top"/>
    </xf>
    <xf numFmtId="0" fontId="8" fillId="2" borderId="0" xfId="0" applyFont="1" applyFill="1" applyBorder="1" applyAlignment="1">
      <alignment horizontal="right"/>
    </xf>
    <xf numFmtId="0" fontId="12" fillId="2" borderId="2" xfId="0" applyFont="1" applyFill="1" applyBorder="1" applyAlignment="1">
      <alignment horizontal="right"/>
    </xf>
    <xf numFmtId="0" fontId="12" fillId="2" borderId="2" xfId="0" applyFont="1" applyFill="1" applyBorder="1" applyAlignment="1">
      <alignment horizontal="right" wrapText="1"/>
    </xf>
    <xf numFmtId="0" fontId="12" fillId="2" borderId="5" xfId="0" applyFont="1" applyFill="1" applyBorder="1" applyAlignment="1">
      <alignment horizontal="right" wrapText="1"/>
    </xf>
    <xf numFmtId="0" fontId="12" fillId="2" borderId="0" xfId="0" applyFont="1" applyFill="1" applyBorder="1" applyAlignment="1">
      <alignment horizontal="right" wrapText="1"/>
    </xf>
    <xf numFmtId="0" fontId="12" fillId="2" borderId="6" xfId="0" applyFont="1" applyFill="1" applyBorder="1"/>
    <xf numFmtId="0" fontId="8" fillId="2" borderId="0" xfId="0" applyFont="1" applyFill="1" applyBorder="1" applyAlignment="1">
      <alignment horizontal="left"/>
    </xf>
    <xf numFmtId="4" fontId="8" fillId="2" borderId="0" xfId="0" applyNumberFormat="1" applyFont="1" applyFill="1" applyBorder="1"/>
    <xf numFmtId="166" fontId="8" fillId="2" borderId="0" xfId="0" applyNumberFormat="1" applyFont="1" applyFill="1" applyBorder="1" applyAlignment="1">
      <alignment horizontal="right" wrapText="1"/>
    </xf>
    <xf numFmtId="4" fontId="8" fillId="2" borderId="0" xfId="0" applyNumberFormat="1" applyFont="1" applyFill="1" applyBorder="1" applyAlignment="1">
      <alignment horizontal="right"/>
    </xf>
    <xf numFmtId="4" fontId="8" fillId="2" borderId="7" xfId="0" applyNumberFormat="1" applyFont="1" applyFill="1" applyBorder="1" applyAlignment="1">
      <alignment horizontal="right"/>
    </xf>
    <xf numFmtId="4" fontId="8" fillId="2" borderId="7" xfId="0" applyNumberFormat="1" applyFont="1" applyFill="1" applyBorder="1"/>
    <xf numFmtId="0" fontId="12" fillId="2" borderId="0" xfId="0" applyFont="1" applyFill="1" applyBorder="1" applyAlignment="1">
      <alignment horizontal="left"/>
    </xf>
    <xf numFmtId="0" fontId="8" fillId="2" borderId="6" xfId="0" applyFont="1" applyFill="1" applyBorder="1"/>
    <xf numFmtId="0" fontId="8" fillId="2" borderId="7" xfId="0" applyFont="1" applyFill="1" applyBorder="1" applyAlignment="1">
      <alignment horizontal="right"/>
    </xf>
    <xf numFmtId="0" fontId="8" fillId="2" borderId="7" xfId="0" applyFont="1" applyFill="1" applyBorder="1"/>
    <xf numFmtId="0" fontId="8" fillId="2" borderId="6" xfId="0" applyFont="1" applyFill="1" applyBorder="1" applyAlignment="1">
      <alignment horizontal="right"/>
    </xf>
    <xf numFmtId="0" fontId="6" fillId="2" borderId="0" xfId="0" applyFont="1" applyFill="1" applyBorder="1" applyAlignment="1">
      <alignment horizontal="right"/>
    </xf>
    <xf numFmtId="168" fontId="6" fillId="2" borderId="7" xfId="0" applyNumberFormat="1" applyFont="1" applyFill="1" applyBorder="1"/>
    <xf numFmtId="168" fontId="6" fillId="2" borderId="0" xfId="0" applyNumberFormat="1" applyFont="1" applyFill="1" applyBorder="1"/>
    <xf numFmtId="168" fontId="6" fillId="2" borderId="6" xfId="0" applyNumberFormat="1" applyFont="1" applyFill="1" applyBorder="1"/>
    <xf numFmtId="0" fontId="6" fillId="2" borderId="7" xfId="0" applyFont="1" applyFill="1" applyBorder="1"/>
    <xf numFmtId="0" fontId="6" fillId="2" borderId="0" xfId="0" applyFont="1" applyFill="1" applyBorder="1"/>
    <xf numFmtId="0" fontId="6" fillId="2" borderId="6" xfId="0" applyFont="1" applyFill="1" applyBorder="1"/>
    <xf numFmtId="4" fontId="6" fillId="2" borderId="7" xfId="0" applyNumberFormat="1" applyFont="1" applyFill="1" applyBorder="1"/>
    <xf numFmtId="4" fontId="6" fillId="2" borderId="0" xfId="0" applyNumberFormat="1" applyFont="1" applyFill="1" applyBorder="1"/>
    <xf numFmtId="4" fontId="6" fillId="2" borderId="6" xfId="0" applyNumberFormat="1" applyFont="1" applyFill="1" applyBorder="1"/>
    <xf numFmtId="0" fontId="28" fillId="2" borderId="0" xfId="0" applyFont="1" applyFill="1" applyBorder="1" applyAlignment="1">
      <alignment horizontal="right"/>
    </xf>
    <xf numFmtId="168" fontId="28" fillId="2" borderId="7" xfId="0" applyNumberFormat="1" applyFont="1" applyFill="1" applyBorder="1"/>
    <xf numFmtId="168" fontId="28" fillId="2" borderId="0" xfId="0" applyNumberFormat="1" applyFont="1" applyFill="1" applyBorder="1"/>
    <xf numFmtId="2" fontId="28" fillId="2" borderId="0" xfId="0" applyNumberFormat="1" applyFont="1" applyFill="1" applyBorder="1" applyAlignment="1">
      <alignment horizontal="right"/>
    </xf>
    <xf numFmtId="168" fontId="28" fillId="2" borderId="6" xfId="0" applyNumberFormat="1" applyFont="1" applyFill="1" applyBorder="1"/>
    <xf numFmtId="0" fontId="28" fillId="2" borderId="7" xfId="0" applyFont="1" applyFill="1" applyBorder="1"/>
    <xf numFmtId="0" fontId="28" fillId="2" borderId="0" xfId="0" applyFont="1" applyFill="1" applyBorder="1"/>
    <xf numFmtId="0" fontId="28" fillId="2" borderId="6" xfId="0" applyFont="1" applyFill="1" applyBorder="1"/>
    <xf numFmtId="0" fontId="8" fillId="2" borderId="8" xfId="0" applyFont="1" applyFill="1" applyBorder="1"/>
    <xf numFmtId="0" fontId="8" fillId="2" borderId="1" xfId="0" applyFont="1" applyFill="1" applyBorder="1" applyAlignment="1">
      <alignment horizontal="left"/>
    </xf>
    <xf numFmtId="0" fontId="8" fillId="2" borderId="1" xfId="0" applyFont="1" applyFill="1" applyBorder="1" applyAlignment="1">
      <alignment wrapText="1"/>
    </xf>
    <xf numFmtId="0" fontId="8" fillId="2" borderId="0" xfId="0" applyFont="1" applyFill="1" applyBorder="1" applyAlignment="1">
      <alignment wrapText="1"/>
    </xf>
    <xf numFmtId="0" fontId="8" fillId="2" borderId="8" xfId="0" applyFont="1" applyFill="1" applyBorder="1" applyAlignment="1">
      <alignment horizontal="left" wrapText="1"/>
    </xf>
    <xf numFmtId="0" fontId="8" fillId="2" borderId="8" xfId="0" applyFont="1" applyFill="1" applyBorder="1" applyAlignment="1">
      <alignment wrapText="1"/>
    </xf>
    <xf numFmtId="0" fontId="8" fillId="2" borderId="9" xfId="0" applyFont="1" applyFill="1" applyBorder="1"/>
    <xf numFmtId="0" fontId="8" fillId="2" borderId="0" xfId="0" applyFont="1" applyFill="1" applyBorder="1" applyAlignment="1">
      <alignment horizontal="left" wrapText="1"/>
    </xf>
    <xf numFmtId="165" fontId="8" fillId="2" borderId="0" xfId="0" applyNumberFormat="1" applyFont="1" applyFill="1" applyAlignment="1">
      <alignment horizontal="right"/>
    </xf>
    <xf numFmtId="170" fontId="8" fillId="2" borderId="9" xfId="0" applyNumberFormat="1" applyFont="1" applyFill="1" applyBorder="1" applyAlignment="1">
      <alignment wrapText="1"/>
    </xf>
    <xf numFmtId="0" fontId="8" fillId="2" borderId="0" xfId="1" applyNumberFormat="1" applyFont="1" applyFill="1"/>
    <xf numFmtId="0" fontId="8" fillId="2" borderId="0" xfId="0" applyNumberFormat="1" applyFont="1" applyFill="1"/>
    <xf numFmtId="10" fontId="8" fillId="2" borderId="0" xfId="1" applyNumberFormat="1" applyFont="1" applyFill="1"/>
    <xf numFmtId="9" fontId="6" fillId="2" borderId="0" xfId="0" applyNumberFormat="1" applyFont="1" applyFill="1" applyBorder="1" applyAlignment="1">
      <alignment horizontal="center"/>
    </xf>
    <xf numFmtId="0" fontId="6" fillId="2" borderId="1" xfId="0" applyFont="1" applyFill="1" applyBorder="1" applyAlignment="1">
      <alignment horizontal="center"/>
    </xf>
    <xf numFmtId="0" fontId="2" fillId="2" borderId="0" xfId="0" applyFont="1" applyFill="1" applyBorder="1" applyAlignment="1">
      <alignment horizontal="center" wrapText="1"/>
    </xf>
    <xf numFmtId="0" fontId="8" fillId="2" borderId="0" xfId="0" applyFont="1" applyFill="1" applyBorder="1" applyAlignment="1" applyProtection="1">
      <protection locked="0"/>
    </xf>
    <xf numFmtId="0" fontId="12" fillId="2" borderId="2" xfId="0" applyFont="1" applyFill="1" applyBorder="1" applyAlignment="1">
      <alignment horizontal="left" wrapText="1"/>
    </xf>
    <xf numFmtId="0" fontId="12" fillId="2" borderId="0" xfId="0" applyFont="1" applyFill="1" applyBorder="1" applyAlignment="1">
      <alignment horizontal="left" wrapText="1"/>
    </xf>
    <xf numFmtId="0" fontId="12" fillId="2" borderId="0" xfId="0" applyFont="1" applyFill="1" applyAlignment="1">
      <alignment horizontal="center" vertical="top"/>
    </xf>
    <xf numFmtId="0" fontId="12" fillId="2" borderId="2" xfId="0" applyFont="1" applyFill="1" applyBorder="1" applyAlignment="1">
      <alignment horizontal="center"/>
    </xf>
    <xf numFmtId="0" fontId="8" fillId="2" borderId="0" xfId="0" applyFont="1" applyFill="1" applyBorder="1" applyAlignment="1">
      <alignment horizontal="center"/>
    </xf>
    <xf numFmtId="0" fontId="12" fillId="2" borderId="0" xfId="0" applyFont="1" applyFill="1" applyBorder="1" applyAlignment="1">
      <alignment horizontal="center"/>
    </xf>
    <xf numFmtId="0" fontId="8" fillId="2" borderId="1" xfId="0" applyFont="1" applyFill="1" applyBorder="1" applyAlignment="1">
      <alignment horizontal="center"/>
    </xf>
    <xf numFmtId="0" fontId="8" fillId="2" borderId="0" xfId="0" applyFont="1" applyFill="1" applyBorder="1" applyAlignment="1"/>
    <xf numFmtId="0" fontId="35" fillId="2" borderId="0" xfId="0" applyFont="1" applyFill="1" applyBorder="1" applyAlignment="1">
      <alignment vertical="top"/>
    </xf>
    <xf numFmtId="0" fontId="17" fillId="2" borderId="0" xfId="0" applyFont="1" applyFill="1" applyBorder="1" applyAlignment="1">
      <alignment horizontal="left" vertical="top" wrapText="1"/>
    </xf>
    <xf numFmtId="0" fontId="23" fillId="2" borderId="0" xfId="0" applyFont="1" applyFill="1" applyAlignment="1">
      <alignment horizontal="center"/>
    </xf>
    <xf numFmtId="0" fontId="12" fillId="2" borderId="0" xfId="0" applyFont="1" applyFill="1" applyBorder="1"/>
    <xf numFmtId="167" fontId="8" fillId="2" borderId="0" xfId="0" applyNumberFormat="1" applyFont="1" applyFill="1" applyBorder="1" applyAlignment="1">
      <alignment horizontal="right"/>
    </xf>
    <xf numFmtId="0" fontId="8" fillId="2" borderId="1" xfId="0" applyFont="1" applyFill="1" applyBorder="1" applyAlignment="1"/>
    <xf numFmtId="167" fontId="8" fillId="2" borderId="1" xfId="0" applyNumberFormat="1" applyFont="1" applyFill="1" applyBorder="1" applyAlignment="1">
      <alignment horizontal="right"/>
    </xf>
    <xf numFmtId="0" fontId="17" fillId="2" borderId="0" xfId="0" applyFont="1" applyFill="1" applyBorder="1"/>
    <xf numFmtId="0" fontId="2" fillId="3" borderId="0" xfId="0" quotePrefix="1" applyFont="1" applyFill="1" applyBorder="1" applyAlignment="1">
      <alignment horizontal="right" vertical="top" indent="1"/>
    </xf>
    <xf numFmtId="0" fontId="2" fillId="2" borderId="0" xfId="0" applyFont="1" applyFill="1" applyAlignment="1">
      <alignment vertical="top" wrapText="1"/>
    </xf>
    <xf numFmtId="0" fontId="3" fillId="2" borderId="0" xfId="0" applyFont="1" applyFill="1" applyBorder="1" applyAlignment="1">
      <alignment horizontal="left" wrapText="1"/>
    </xf>
    <xf numFmtId="0" fontId="2" fillId="2" borderId="0" xfId="0" quotePrefix="1" applyFont="1" applyFill="1" applyBorder="1" applyAlignment="1">
      <alignment horizontal="right" vertical="top" wrapText="1"/>
    </xf>
    <xf numFmtId="0" fontId="2" fillId="2" borderId="0" xfId="0" applyFont="1" applyFill="1" applyAlignment="1">
      <alignment horizontal="left" vertical="top" wrapText="1"/>
    </xf>
    <xf numFmtId="0" fontId="2" fillId="2" borderId="0" xfId="0" applyFont="1" applyFill="1" applyBorder="1" applyAlignment="1">
      <alignment horizontal="left" vertical="top" wrapText="1"/>
    </xf>
    <xf numFmtId="0" fontId="7" fillId="3" borderId="1" xfId="0" applyFont="1" applyFill="1" applyBorder="1" applyAlignment="1">
      <alignment horizontal="left"/>
    </xf>
    <xf numFmtId="0" fontId="7" fillId="3" borderId="0" xfId="0" applyFont="1" applyFill="1" applyBorder="1" applyAlignment="1">
      <alignment horizontal="left"/>
    </xf>
    <xf numFmtId="0" fontId="4" fillId="3" borderId="0" xfId="0" applyFont="1" applyFill="1" applyAlignment="1">
      <alignment horizontal="left" vertical="top" wrapText="1"/>
    </xf>
    <xf numFmtId="0" fontId="2" fillId="3" borderId="0" xfId="0" applyFont="1" applyFill="1" applyAlignment="1">
      <alignment horizontal="left" vertical="top" wrapText="1"/>
    </xf>
    <xf numFmtId="0" fontId="7" fillId="2" borderId="0" xfId="0" applyFont="1" applyFill="1" applyBorder="1" applyAlignment="1" applyProtection="1">
      <alignment horizontal="left" vertical="top" wrapText="1"/>
      <protection locked="0"/>
    </xf>
    <xf numFmtId="0" fontId="17" fillId="2" borderId="0" xfId="0" applyFont="1" applyFill="1" applyAlignment="1">
      <alignment horizontal="left" wrapText="1"/>
    </xf>
    <xf numFmtId="0" fontId="12" fillId="2" borderId="0" xfId="0" applyFont="1" applyFill="1" applyBorder="1" applyAlignment="1"/>
    <xf numFmtId="0" fontId="13" fillId="2" borderId="0" xfId="0" applyFont="1" applyFill="1" applyBorder="1" applyAlignment="1"/>
    <xf numFmtId="0" fontId="5" fillId="2" borderId="0" xfId="0" applyFont="1" applyFill="1" applyBorder="1" applyAlignment="1"/>
    <xf numFmtId="0" fontId="7" fillId="2" borderId="0" xfId="0" applyFont="1" applyFill="1" applyBorder="1" applyAlignment="1" applyProtection="1">
      <alignment horizontal="left"/>
      <protection locked="0"/>
    </xf>
    <xf numFmtId="0" fontId="10" fillId="2" borderId="0" xfId="0" applyFont="1" applyFill="1" applyAlignment="1" applyProtection="1">
      <alignment horizontal="left"/>
      <protection locked="0"/>
    </xf>
    <xf numFmtId="0" fontId="8" fillId="2" borderId="0" xfId="0" applyFont="1" applyFill="1" applyBorder="1" applyAlignment="1" applyProtection="1"/>
    <xf numFmtId="0" fontId="8" fillId="2" borderId="0" xfId="0" applyFont="1" applyFill="1" applyBorder="1" applyAlignment="1"/>
    <xf numFmtId="0" fontId="12" fillId="2" borderId="0" xfId="0" applyFont="1" applyFill="1" applyBorder="1" applyAlignment="1" applyProtection="1"/>
    <xf numFmtId="0" fontId="19" fillId="2" borderId="1" xfId="0" applyFont="1" applyFill="1" applyBorder="1" applyAlignment="1">
      <alignment horizontal="left" wrapText="1"/>
    </xf>
    <xf numFmtId="0" fontId="2" fillId="2" borderId="0" xfId="0" applyFont="1" applyFill="1" applyBorder="1" applyAlignment="1">
      <alignment horizontal="center" wrapText="1"/>
    </xf>
    <xf numFmtId="0" fontId="2" fillId="2" borderId="1" xfId="0" applyFont="1" applyFill="1" applyBorder="1" applyAlignment="1">
      <alignment horizontal="center" wrapText="1"/>
    </xf>
    <xf numFmtId="0" fontId="2" fillId="2" borderId="1" xfId="0" applyFont="1" applyFill="1" applyBorder="1" applyAlignment="1">
      <alignment horizontal="center"/>
    </xf>
    <xf numFmtId="0" fontId="23" fillId="2" borderId="0" xfId="0" applyFont="1" applyFill="1" applyAlignment="1">
      <alignment horizontal="left" vertical="top" wrapText="1"/>
    </xf>
    <xf numFmtId="0" fontId="26" fillId="2" borderId="11" xfId="0" applyFont="1" applyFill="1" applyBorder="1" applyAlignment="1">
      <alignment horizontal="center" vertical="top" wrapText="1"/>
    </xf>
    <xf numFmtId="0" fontId="26" fillId="2" borderId="1" xfId="0" applyFont="1" applyFill="1" applyBorder="1" applyAlignment="1">
      <alignment horizontal="center" vertical="top" wrapText="1"/>
    </xf>
    <xf numFmtId="0" fontId="17" fillId="2" borderId="0" xfId="0" applyFont="1" applyFill="1" applyBorder="1" applyAlignment="1">
      <alignment horizontal="left" vertical="top" wrapText="1"/>
    </xf>
    <xf numFmtId="0" fontId="25" fillId="2" borderId="10" xfId="0" applyFont="1" applyFill="1" applyBorder="1" applyAlignment="1">
      <alignment horizontal="left" wrapText="1"/>
    </xf>
    <xf numFmtId="0" fontId="26" fillId="2" borderId="11" xfId="0" applyFont="1" applyFill="1" applyBorder="1" applyAlignment="1">
      <alignment vertical="top" wrapText="1"/>
    </xf>
    <xf numFmtId="0" fontId="26" fillId="2" borderId="1" xfId="0" applyFont="1" applyFill="1" applyBorder="1" applyAlignment="1">
      <alignment vertical="top" wrapText="1"/>
    </xf>
    <xf numFmtId="0" fontId="7" fillId="3" borderId="1" xfId="0" applyFont="1" applyFill="1" applyBorder="1" applyAlignment="1">
      <alignment horizontal="left" wrapText="1"/>
    </xf>
    <xf numFmtId="0" fontId="5" fillId="2" borderId="3" xfId="0" applyFont="1" applyFill="1" applyBorder="1" applyAlignment="1">
      <alignment horizontal="center"/>
    </xf>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pplyProtection="1">
      <alignment horizontal="left"/>
      <protection locked="0"/>
    </xf>
    <xf numFmtId="0" fontId="8" fillId="2" borderId="0" xfId="0" applyFont="1" applyFill="1" applyBorder="1" applyAlignment="1" applyProtection="1">
      <protection locked="0"/>
    </xf>
    <xf numFmtId="0" fontId="12" fillId="2" borderId="6"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8" fillId="2" borderId="0" xfId="0" applyFont="1" applyFill="1" applyBorder="1" applyAlignment="1">
      <alignment horizontal="left" wrapText="1"/>
    </xf>
    <xf numFmtId="0" fontId="8" fillId="2" borderId="0" xfId="0" applyFont="1" applyFill="1" applyBorder="1" applyAlignment="1">
      <alignment horizontal="left" vertical="top" wrapText="1"/>
    </xf>
    <xf numFmtId="0" fontId="33" fillId="2" borderId="1" xfId="0" applyFont="1" applyFill="1" applyBorder="1" applyAlignment="1">
      <alignment horizontal="left" vertical="top" wrapText="1"/>
    </xf>
    <xf numFmtId="0" fontId="33" fillId="2" borderId="9" xfId="0" applyFont="1" applyFill="1" applyBorder="1" applyAlignment="1">
      <alignment horizontal="left" vertical="top" wrapText="1"/>
    </xf>
    <xf numFmtId="0" fontId="8" fillId="2" borderId="2" xfId="0" applyFont="1" applyFill="1" applyBorder="1" applyAlignment="1">
      <alignment horizontal="left"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3"/>
  <sheetViews>
    <sheetView tabSelected="1" workbookViewId="0">
      <selection activeCell="B1" sqref="B1"/>
    </sheetView>
  </sheetViews>
  <sheetFormatPr baseColWidth="10" defaultColWidth="9.1640625" defaultRowHeight="13" x14ac:dyDescent="0"/>
  <cols>
    <col min="1" max="1" width="5.6640625" style="1" customWidth="1"/>
    <col min="2" max="2" width="5.83203125" style="11" customWidth="1"/>
    <col min="3" max="3" width="21" style="1" customWidth="1"/>
    <col min="4" max="10" width="9.83203125" style="1" customWidth="1"/>
    <col min="11" max="11" width="11.83203125" style="1" bestFit="1" customWidth="1"/>
    <col min="12" max="16384" width="9.1640625" style="1"/>
  </cols>
  <sheetData>
    <row r="2" spans="2:12" ht="41.25" customHeight="1">
      <c r="B2" s="231" t="s">
        <v>83</v>
      </c>
      <c r="C2" s="231"/>
      <c r="D2" s="231"/>
      <c r="E2" s="231"/>
      <c r="F2" s="231"/>
      <c r="G2" s="231"/>
      <c r="H2" s="231"/>
      <c r="I2" s="231"/>
      <c r="J2" s="231"/>
      <c r="K2" s="231"/>
      <c r="L2" s="231"/>
    </row>
    <row r="4" spans="2:12" s="2" customFormat="1">
      <c r="B4" s="3" t="s">
        <v>180</v>
      </c>
      <c r="C4" s="4"/>
      <c r="D4" s="4"/>
      <c r="E4" s="4"/>
      <c r="F4" s="4"/>
      <c r="G4" s="4"/>
      <c r="H4" s="4"/>
      <c r="I4" s="4"/>
      <c r="J4" s="4"/>
    </row>
    <row r="5" spans="2:12" s="2" customFormat="1" ht="14.25" customHeight="1">
      <c r="B5" s="5" t="s">
        <v>62</v>
      </c>
      <c r="C5" s="237" t="s">
        <v>188</v>
      </c>
      <c r="D5" s="237"/>
      <c r="E5" s="237"/>
      <c r="F5" s="237"/>
      <c r="G5" s="237"/>
      <c r="H5" s="237"/>
      <c r="I5" s="237"/>
      <c r="J5" s="237"/>
      <c r="K5" s="237"/>
    </row>
    <row r="6" spans="2:12" s="2" customFormat="1" ht="15.75" customHeight="1">
      <c r="B6" s="4"/>
      <c r="C6" s="237"/>
      <c r="D6" s="237"/>
      <c r="E6" s="237"/>
      <c r="F6" s="237"/>
      <c r="G6" s="237"/>
      <c r="H6" s="237"/>
      <c r="I6" s="237"/>
      <c r="J6" s="237"/>
      <c r="K6" s="237"/>
    </row>
    <row r="7" spans="2:12" s="2" customFormat="1" ht="46.5" customHeight="1">
      <c r="B7" s="229" t="s">
        <v>63</v>
      </c>
      <c r="C7" s="238" t="s">
        <v>238</v>
      </c>
      <c r="D7" s="238"/>
      <c r="E7" s="238"/>
      <c r="F7" s="238"/>
      <c r="G7" s="238"/>
      <c r="H7" s="238"/>
      <c r="I7" s="238"/>
      <c r="J7" s="238"/>
      <c r="K7" s="238"/>
    </row>
    <row r="8" spans="2:12" s="2" customFormat="1" ht="18" customHeight="1">
      <c r="B8" s="6" t="s">
        <v>64</v>
      </c>
      <c r="C8" s="238" t="s">
        <v>181</v>
      </c>
      <c r="D8" s="238"/>
      <c r="E8" s="238"/>
      <c r="F8" s="238"/>
      <c r="G8" s="238"/>
      <c r="H8" s="238"/>
      <c r="I8" s="238"/>
      <c r="J8" s="238"/>
      <c r="K8" s="238"/>
    </row>
    <row r="9" spans="2:12" s="2" customFormat="1" ht="18" customHeight="1">
      <c r="C9" s="238"/>
      <c r="D9" s="238"/>
      <c r="E9" s="238"/>
      <c r="F9" s="238"/>
      <c r="G9" s="238"/>
      <c r="H9" s="238"/>
      <c r="I9" s="238"/>
      <c r="J9" s="238"/>
      <c r="K9" s="238"/>
    </row>
    <row r="10" spans="2:12" s="2" customFormat="1" ht="18" customHeight="1">
      <c r="C10" s="238"/>
      <c r="D10" s="238"/>
      <c r="E10" s="238"/>
      <c r="F10" s="238"/>
      <c r="G10" s="238"/>
      <c r="H10" s="238"/>
      <c r="I10" s="238"/>
      <c r="J10" s="238"/>
      <c r="K10" s="238"/>
    </row>
    <row r="11" spans="2:12" s="2" customFormat="1">
      <c r="C11" s="7"/>
      <c r="D11" s="7"/>
      <c r="E11" s="7"/>
      <c r="F11" s="7"/>
      <c r="G11" s="7"/>
      <c r="H11" s="7"/>
      <c r="I11" s="7"/>
      <c r="J11" s="7"/>
      <c r="K11" s="7"/>
    </row>
    <row r="12" spans="2:12">
      <c r="B12" s="8" t="s">
        <v>61</v>
      </c>
    </row>
    <row r="13" spans="2:12" ht="18" customHeight="1">
      <c r="B13" s="232" t="s">
        <v>62</v>
      </c>
      <c r="C13" s="233" t="s">
        <v>174</v>
      </c>
      <c r="D13" s="233"/>
      <c r="E13" s="233"/>
      <c r="F13" s="233"/>
      <c r="G13" s="233"/>
      <c r="H13" s="233"/>
      <c r="I13" s="233"/>
      <c r="J13" s="233"/>
      <c r="K13" s="233"/>
      <c r="L13" s="9"/>
    </row>
    <row r="14" spans="2:12" ht="28.25" customHeight="1">
      <c r="B14" s="232"/>
      <c r="C14" s="233"/>
      <c r="D14" s="233"/>
      <c r="E14" s="233"/>
      <c r="F14" s="233"/>
      <c r="G14" s="233"/>
      <c r="H14" s="233"/>
      <c r="I14" s="233"/>
      <c r="J14" s="233"/>
      <c r="K14" s="233"/>
    </row>
    <row r="15" spans="2:12" ht="30" customHeight="1">
      <c r="B15" s="10" t="s">
        <v>63</v>
      </c>
      <c r="C15" s="233" t="s">
        <v>194</v>
      </c>
      <c r="D15" s="233"/>
      <c r="E15" s="233"/>
      <c r="F15" s="233"/>
      <c r="G15" s="233"/>
      <c r="H15" s="233"/>
      <c r="I15" s="233"/>
      <c r="J15" s="233"/>
      <c r="K15" s="233"/>
    </row>
    <row r="16" spans="2:12" s="11" customFormat="1" ht="18" customHeight="1">
      <c r="B16" s="12" t="s">
        <v>64</v>
      </c>
      <c r="C16" s="230" t="s">
        <v>175</v>
      </c>
      <c r="D16" s="230"/>
      <c r="E16" s="230"/>
      <c r="F16" s="230"/>
      <c r="G16" s="230"/>
      <c r="H16" s="230"/>
      <c r="I16" s="230"/>
      <c r="J16" s="230"/>
      <c r="K16" s="230"/>
    </row>
    <row r="17" spans="2:11" ht="33" customHeight="1">
      <c r="B17" s="10" t="s">
        <v>65</v>
      </c>
      <c r="C17" s="234" t="s">
        <v>176</v>
      </c>
      <c r="D17" s="234"/>
      <c r="E17" s="234"/>
      <c r="F17" s="234"/>
      <c r="G17" s="234"/>
      <c r="H17" s="234"/>
      <c r="I17" s="234"/>
      <c r="J17" s="234"/>
      <c r="K17" s="234"/>
    </row>
    <row r="18" spans="2:11" ht="18" customHeight="1">
      <c r="B18" s="10" t="s">
        <v>66</v>
      </c>
      <c r="C18" s="13" t="s">
        <v>177</v>
      </c>
      <c r="D18" s="13"/>
      <c r="E18" s="14"/>
      <c r="F18" s="14"/>
      <c r="G18" s="14"/>
      <c r="H18" s="14"/>
      <c r="I18" s="14"/>
      <c r="J18" s="14"/>
      <c r="K18" s="14"/>
    </row>
    <row r="19" spans="2:11" ht="31.5" customHeight="1">
      <c r="B19" s="12" t="s">
        <v>67</v>
      </c>
      <c r="C19" s="234" t="s">
        <v>178</v>
      </c>
      <c r="D19" s="234"/>
      <c r="E19" s="234"/>
      <c r="F19" s="234"/>
      <c r="G19" s="234"/>
      <c r="H19" s="234"/>
      <c r="I19" s="234"/>
      <c r="J19" s="234"/>
      <c r="K19" s="234"/>
    </row>
    <row r="20" spans="2:11" ht="18" customHeight="1">
      <c r="B20" s="10" t="s">
        <v>68</v>
      </c>
      <c r="C20" s="234" t="s">
        <v>179</v>
      </c>
      <c r="D20" s="234"/>
      <c r="E20" s="234"/>
      <c r="F20" s="234"/>
      <c r="G20" s="234"/>
      <c r="H20" s="234"/>
      <c r="I20" s="234"/>
      <c r="J20" s="234"/>
      <c r="K20" s="234"/>
    </row>
    <row r="21" spans="2:11" ht="50.25" customHeight="1">
      <c r="B21" s="12" t="s">
        <v>69</v>
      </c>
      <c r="C21" s="234" t="s">
        <v>195</v>
      </c>
      <c r="D21" s="234"/>
      <c r="E21" s="234"/>
      <c r="F21" s="234"/>
      <c r="G21" s="234"/>
      <c r="H21" s="234"/>
      <c r="I21" s="234"/>
      <c r="J21" s="234"/>
      <c r="K21" s="234"/>
    </row>
    <row r="22" spans="2:11" ht="18" customHeight="1">
      <c r="B22" s="12" t="s">
        <v>82</v>
      </c>
      <c r="C22" s="230" t="s">
        <v>70</v>
      </c>
      <c r="D22" s="230"/>
      <c r="E22" s="230"/>
      <c r="F22" s="230"/>
      <c r="G22" s="230"/>
      <c r="H22" s="230"/>
      <c r="I22" s="230"/>
      <c r="J22" s="230"/>
      <c r="K22" s="230"/>
    </row>
    <row r="23" spans="2:11">
      <c r="B23" s="1"/>
      <c r="C23" s="230"/>
      <c r="D23" s="230"/>
      <c r="E23" s="230"/>
      <c r="F23" s="230"/>
      <c r="G23" s="230"/>
      <c r="H23" s="230"/>
      <c r="I23" s="230"/>
      <c r="J23" s="230"/>
      <c r="K23" s="230"/>
    </row>
    <row r="24" spans="2:11" ht="16">
      <c r="C24" s="235" t="s">
        <v>71</v>
      </c>
      <c r="D24" s="235"/>
      <c r="E24" s="235"/>
      <c r="F24" s="236"/>
      <c r="G24" s="236"/>
      <c r="H24" s="236"/>
      <c r="I24" s="236"/>
      <c r="J24" s="236"/>
    </row>
    <row r="25" spans="2:11">
      <c r="C25" s="1" t="s">
        <v>72</v>
      </c>
      <c r="D25" s="18" t="s">
        <v>73</v>
      </c>
      <c r="E25" s="15"/>
      <c r="F25" s="15"/>
      <c r="G25" s="15"/>
      <c r="H25" s="15"/>
      <c r="I25" s="15"/>
      <c r="J25" s="15"/>
    </row>
    <row r="26" spans="2:11">
      <c r="C26" s="1" t="s">
        <v>74</v>
      </c>
      <c r="D26" s="18" t="s">
        <v>75</v>
      </c>
      <c r="E26" s="15"/>
      <c r="F26" s="15"/>
      <c r="G26" s="15"/>
      <c r="H26" s="15"/>
      <c r="I26" s="15"/>
      <c r="J26" s="15"/>
    </row>
    <row r="27" spans="2:11">
      <c r="C27" s="1" t="s">
        <v>76</v>
      </c>
      <c r="D27" s="18" t="s">
        <v>77</v>
      </c>
      <c r="F27" s="16"/>
      <c r="G27" s="16"/>
      <c r="H27" s="16"/>
      <c r="I27" s="16"/>
      <c r="J27" s="16"/>
    </row>
    <row r="28" spans="2:11">
      <c r="C28" s="1" t="s">
        <v>78</v>
      </c>
      <c r="D28" s="18" t="s">
        <v>79</v>
      </c>
      <c r="F28" s="16"/>
      <c r="G28" s="16"/>
      <c r="H28" s="16"/>
      <c r="I28" s="16"/>
      <c r="J28" s="16"/>
    </row>
    <row r="29" spans="2:11">
      <c r="C29" s="17" t="s">
        <v>80</v>
      </c>
      <c r="D29" s="19" t="s">
        <v>81</v>
      </c>
      <c r="E29" s="17"/>
      <c r="F29" s="16"/>
      <c r="G29" s="16"/>
      <c r="H29" s="16"/>
      <c r="I29" s="16"/>
      <c r="J29" s="16"/>
    </row>
    <row r="31" spans="2:11">
      <c r="B31" s="12"/>
      <c r="C31" s="230"/>
      <c r="D31" s="230"/>
      <c r="E31" s="230"/>
      <c r="F31" s="230"/>
      <c r="G31" s="230"/>
      <c r="H31" s="230"/>
      <c r="I31" s="230"/>
      <c r="J31" s="230"/>
      <c r="K31" s="230"/>
    </row>
    <row r="32" spans="2:11">
      <c r="B32" s="1"/>
      <c r="C32" s="230"/>
      <c r="D32" s="230"/>
      <c r="E32" s="230"/>
      <c r="F32" s="230"/>
      <c r="G32" s="230"/>
      <c r="H32" s="230"/>
      <c r="I32" s="230"/>
      <c r="J32" s="230"/>
      <c r="K32" s="230"/>
    </row>
    <row r="33" spans="2:11">
      <c r="B33" s="10"/>
      <c r="C33" s="230"/>
      <c r="D33" s="230"/>
      <c r="E33" s="230"/>
      <c r="F33" s="230"/>
      <c r="G33" s="230"/>
      <c r="H33" s="230"/>
      <c r="I33" s="230"/>
      <c r="J33" s="230"/>
      <c r="K33" s="230"/>
    </row>
  </sheetData>
  <mergeCells count="15">
    <mergeCell ref="C31:K33"/>
    <mergeCell ref="B2:L2"/>
    <mergeCell ref="B13:B14"/>
    <mergeCell ref="C13:K14"/>
    <mergeCell ref="C16:K16"/>
    <mergeCell ref="C17:K17"/>
    <mergeCell ref="C19:K19"/>
    <mergeCell ref="C20:K20"/>
    <mergeCell ref="C21:K21"/>
    <mergeCell ref="C22:K23"/>
    <mergeCell ref="C24:J24"/>
    <mergeCell ref="C15:K15"/>
    <mergeCell ref="C5:K6"/>
    <mergeCell ref="C8:K10"/>
    <mergeCell ref="C7:K7"/>
  </mergeCells>
  <pageMargins left="0.7" right="0.7" top="0.75" bottom="0.75" header="0.3" footer="0.3"/>
  <pageSetup orientation="portrait" horizontalDpi="1200" verticalDpi="1200"/>
  <ignoredErrors>
    <ignoredError sqref="B13:B30 B8 B5:B7" numberStoredAsText="1"/>
  </ignoredError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38"/>
  <sheetViews>
    <sheetView workbookViewId="0">
      <selection activeCell="C12" sqref="C12"/>
    </sheetView>
  </sheetViews>
  <sheetFormatPr baseColWidth="10" defaultColWidth="8.83203125" defaultRowHeight="13" x14ac:dyDescent="0"/>
  <cols>
    <col min="1" max="1" width="8.83203125" style="21"/>
    <col min="2" max="2" width="27.83203125" style="21" customWidth="1"/>
    <col min="3" max="3" width="10.33203125" style="21" customWidth="1"/>
    <col min="4" max="4" width="33.83203125" style="21" customWidth="1"/>
    <col min="5" max="5" width="2.83203125" style="21" customWidth="1"/>
    <col min="6" max="6" width="19.33203125" style="21" customWidth="1"/>
    <col min="7" max="246" width="8.83203125" style="21"/>
    <col min="247" max="247" width="24.5" style="21" customWidth="1"/>
    <col min="248" max="248" width="8.5" style="21" customWidth="1"/>
    <col min="249" max="249" width="3.1640625" style="21" customWidth="1"/>
    <col min="250" max="250" width="43.83203125" style="21" customWidth="1"/>
    <col min="251" max="251" width="5" style="21" customWidth="1"/>
    <col min="252" max="252" width="11.5" style="21" customWidth="1"/>
    <col min="253" max="253" width="3.33203125" style="21" customWidth="1"/>
    <col min="254" max="502" width="8.83203125" style="21"/>
    <col min="503" max="503" width="24.5" style="21" customWidth="1"/>
    <col min="504" max="504" width="8.5" style="21" customWidth="1"/>
    <col min="505" max="505" width="3.1640625" style="21" customWidth="1"/>
    <col min="506" max="506" width="43.83203125" style="21" customWidth="1"/>
    <col min="507" max="507" width="5" style="21" customWidth="1"/>
    <col min="508" max="508" width="11.5" style="21" customWidth="1"/>
    <col min="509" max="509" width="3.33203125" style="21" customWidth="1"/>
    <col min="510" max="758" width="8.83203125" style="21"/>
    <col min="759" max="759" width="24.5" style="21" customWidth="1"/>
    <col min="760" max="760" width="8.5" style="21" customWidth="1"/>
    <col min="761" max="761" width="3.1640625" style="21" customWidth="1"/>
    <col min="762" max="762" width="43.83203125" style="21" customWidth="1"/>
    <col min="763" max="763" width="5" style="21" customWidth="1"/>
    <col min="764" max="764" width="11.5" style="21" customWidth="1"/>
    <col min="765" max="765" width="3.33203125" style="21" customWidth="1"/>
    <col min="766" max="1014" width="8.83203125" style="21"/>
    <col min="1015" max="1015" width="24.5" style="21" customWidth="1"/>
    <col min="1016" max="1016" width="8.5" style="21" customWidth="1"/>
    <col min="1017" max="1017" width="3.1640625" style="21" customWidth="1"/>
    <col min="1018" max="1018" width="43.83203125" style="21" customWidth="1"/>
    <col min="1019" max="1019" width="5" style="21" customWidth="1"/>
    <col min="1020" max="1020" width="11.5" style="21" customWidth="1"/>
    <col min="1021" max="1021" width="3.33203125" style="21" customWidth="1"/>
    <col min="1022" max="1270" width="8.83203125" style="21"/>
    <col min="1271" max="1271" width="24.5" style="21" customWidth="1"/>
    <col min="1272" max="1272" width="8.5" style="21" customWidth="1"/>
    <col min="1273" max="1273" width="3.1640625" style="21" customWidth="1"/>
    <col min="1274" max="1274" width="43.83203125" style="21" customWidth="1"/>
    <col min="1275" max="1275" width="5" style="21" customWidth="1"/>
    <col min="1276" max="1276" width="11.5" style="21" customWidth="1"/>
    <col min="1277" max="1277" width="3.33203125" style="21" customWidth="1"/>
    <col min="1278" max="1526" width="8.83203125" style="21"/>
    <col min="1527" max="1527" width="24.5" style="21" customWidth="1"/>
    <col min="1528" max="1528" width="8.5" style="21" customWidth="1"/>
    <col min="1529" max="1529" width="3.1640625" style="21" customWidth="1"/>
    <col min="1530" max="1530" width="43.83203125" style="21" customWidth="1"/>
    <col min="1531" max="1531" width="5" style="21" customWidth="1"/>
    <col min="1532" max="1532" width="11.5" style="21" customWidth="1"/>
    <col min="1533" max="1533" width="3.33203125" style="21" customWidth="1"/>
    <col min="1534" max="1782" width="8.83203125" style="21"/>
    <col min="1783" max="1783" width="24.5" style="21" customWidth="1"/>
    <col min="1784" max="1784" width="8.5" style="21" customWidth="1"/>
    <col min="1785" max="1785" width="3.1640625" style="21" customWidth="1"/>
    <col min="1786" max="1786" width="43.83203125" style="21" customWidth="1"/>
    <col min="1787" max="1787" width="5" style="21" customWidth="1"/>
    <col min="1788" max="1788" width="11.5" style="21" customWidth="1"/>
    <col min="1789" max="1789" width="3.33203125" style="21" customWidth="1"/>
    <col min="1790" max="2038" width="8.83203125" style="21"/>
    <col min="2039" max="2039" width="24.5" style="21" customWidth="1"/>
    <col min="2040" max="2040" width="8.5" style="21" customWidth="1"/>
    <col min="2041" max="2041" width="3.1640625" style="21" customWidth="1"/>
    <col min="2042" max="2042" width="43.83203125" style="21" customWidth="1"/>
    <col min="2043" max="2043" width="5" style="21" customWidth="1"/>
    <col min="2044" max="2044" width="11.5" style="21" customWidth="1"/>
    <col min="2045" max="2045" width="3.33203125" style="21" customWidth="1"/>
    <col min="2046" max="2294" width="8.83203125" style="21"/>
    <col min="2295" max="2295" width="24.5" style="21" customWidth="1"/>
    <col min="2296" max="2296" width="8.5" style="21" customWidth="1"/>
    <col min="2297" max="2297" width="3.1640625" style="21" customWidth="1"/>
    <col min="2298" max="2298" width="43.83203125" style="21" customWidth="1"/>
    <col min="2299" max="2299" width="5" style="21" customWidth="1"/>
    <col min="2300" max="2300" width="11.5" style="21" customWidth="1"/>
    <col min="2301" max="2301" width="3.33203125" style="21" customWidth="1"/>
    <col min="2302" max="2550" width="8.83203125" style="21"/>
    <col min="2551" max="2551" width="24.5" style="21" customWidth="1"/>
    <col min="2552" max="2552" width="8.5" style="21" customWidth="1"/>
    <col min="2553" max="2553" width="3.1640625" style="21" customWidth="1"/>
    <col min="2554" max="2554" width="43.83203125" style="21" customWidth="1"/>
    <col min="2555" max="2555" width="5" style="21" customWidth="1"/>
    <col min="2556" max="2556" width="11.5" style="21" customWidth="1"/>
    <col min="2557" max="2557" width="3.33203125" style="21" customWidth="1"/>
    <col min="2558" max="2806" width="8.83203125" style="21"/>
    <col min="2807" max="2807" width="24.5" style="21" customWidth="1"/>
    <col min="2808" max="2808" width="8.5" style="21" customWidth="1"/>
    <col min="2809" max="2809" width="3.1640625" style="21" customWidth="1"/>
    <col min="2810" max="2810" width="43.83203125" style="21" customWidth="1"/>
    <col min="2811" max="2811" width="5" style="21" customWidth="1"/>
    <col min="2812" max="2812" width="11.5" style="21" customWidth="1"/>
    <col min="2813" max="2813" width="3.33203125" style="21" customWidth="1"/>
    <col min="2814" max="3062" width="8.83203125" style="21"/>
    <col min="3063" max="3063" width="24.5" style="21" customWidth="1"/>
    <col min="3064" max="3064" width="8.5" style="21" customWidth="1"/>
    <col min="3065" max="3065" width="3.1640625" style="21" customWidth="1"/>
    <col min="3066" max="3066" width="43.83203125" style="21" customWidth="1"/>
    <col min="3067" max="3067" width="5" style="21" customWidth="1"/>
    <col min="3068" max="3068" width="11.5" style="21" customWidth="1"/>
    <col min="3069" max="3069" width="3.33203125" style="21" customWidth="1"/>
    <col min="3070" max="3318" width="8.83203125" style="21"/>
    <col min="3319" max="3319" width="24.5" style="21" customWidth="1"/>
    <col min="3320" max="3320" width="8.5" style="21" customWidth="1"/>
    <col min="3321" max="3321" width="3.1640625" style="21" customWidth="1"/>
    <col min="3322" max="3322" width="43.83203125" style="21" customWidth="1"/>
    <col min="3323" max="3323" width="5" style="21" customWidth="1"/>
    <col min="3324" max="3324" width="11.5" style="21" customWidth="1"/>
    <col min="3325" max="3325" width="3.33203125" style="21" customWidth="1"/>
    <col min="3326" max="3574" width="8.83203125" style="21"/>
    <col min="3575" max="3575" width="24.5" style="21" customWidth="1"/>
    <col min="3576" max="3576" width="8.5" style="21" customWidth="1"/>
    <col min="3577" max="3577" width="3.1640625" style="21" customWidth="1"/>
    <col min="3578" max="3578" width="43.83203125" style="21" customWidth="1"/>
    <col min="3579" max="3579" width="5" style="21" customWidth="1"/>
    <col min="3580" max="3580" width="11.5" style="21" customWidth="1"/>
    <col min="3581" max="3581" width="3.33203125" style="21" customWidth="1"/>
    <col min="3582" max="3830" width="8.83203125" style="21"/>
    <col min="3831" max="3831" width="24.5" style="21" customWidth="1"/>
    <col min="3832" max="3832" width="8.5" style="21" customWidth="1"/>
    <col min="3833" max="3833" width="3.1640625" style="21" customWidth="1"/>
    <col min="3834" max="3834" width="43.83203125" style="21" customWidth="1"/>
    <col min="3835" max="3835" width="5" style="21" customWidth="1"/>
    <col min="3836" max="3836" width="11.5" style="21" customWidth="1"/>
    <col min="3837" max="3837" width="3.33203125" style="21" customWidth="1"/>
    <col min="3838" max="4086" width="8.83203125" style="21"/>
    <col min="4087" max="4087" width="24.5" style="21" customWidth="1"/>
    <col min="4088" max="4088" width="8.5" style="21" customWidth="1"/>
    <col min="4089" max="4089" width="3.1640625" style="21" customWidth="1"/>
    <col min="4090" max="4090" width="43.83203125" style="21" customWidth="1"/>
    <col min="4091" max="4091" width="5" style="21" customWidth="1"/>
    <col min="4092" max="4092" width="11.5" style="21" customWidth="1"/>
    <col min="4093" max="4093" width="3.33203125" style="21" customWidth="1"/>
    <col min="4094" max="4342" width="8.83203125" style="21"/>
    <col min="4343" max="4343" width="24.5" style="21" customWidth="1"/>
    <col min="4344" max="4344" width="8.5" style="21" customWidth="1"/>
    <col min="4345" max="4345" width="3.1640625" style="21" customWidth="1"/>
    <col min="4346" max="4346" width="43.83203125" style="21" customWidth="1"/>
    <col min="4347" max="4347" width="5" style="21" customWidth="1"/>
    <col min="4348" max="4348" width="11.5" style="21" customWidth="1"/>
    <col min="4349" max="4349" width="3.33203125" style="21" customWidth="1"/>
    <col min="4350" max="4598" width="8.83203125" style="21"/>
    <col min="4599" max="4599" width="24.5" style="21" customWidth="1"/>
    <col min="4600" max="4600" width="8.5" style="21" customWidth="1"/>
    <col min="4601" max="4601" width="3.1640625" style="21" customWidth="1"/>
    <col min="4602" max="4602" width="43.83203125" style="21" customWidth="1"/>
    <col min="4603" max="4603" width="5" style="21" customWidth="1"/>
    <col min="4604" max="4604" width="11.5" style="21" customWidth="1"/>
    <col min="4605" max="4605" width="3.33203125" style="21" customWidth="1"/>
    <col min="4606" max="4854" width="8.83203125" style="21"/>
    <col min="4855" max="4855" width="24.5" style="21" customWidth="1"/>
    <col min="4856" max="4856" width="8.5" style="21" customWidth="1"/>
    <col min="4857" max="4857" width="3.1640625" style="21" customWidth="1"/>
    <col min="4858" max="4858" width="43.83203125" style="21" customWidth="1"/>
    <col min="4859" max="4859" width="5" style="21" customWidth="1"/>
    <col min="4860" max="4860" width="11.5" style="21" customWidth="1"/>
    <col min="4861" max="4861" width="3.33203125" style="21" customWidth="1"/>
    <col min="4862" max="5110" width="8.83203125" style="21"/>
    <col min="5111" max="5111" width="24.5" style="21" customWidth="1"/>
    <col min="5112" max="5112" width="8.5" style="21" customWidth="1"/>
    <col min="5113" max="5113" width="3.1640625" style="21" customWidth="1"/>
    <col min="5114" max="5114" width="43.83203125" style="21" customWidth="1"/>
    <col min="5115" max="5115" width="5" style="21" customWidth="1"/>
    <col min="5116" max="5116" width="11.5" style="21" customWidth="1"/>
    <col min="5117" max="5117" width="3.33203125" style="21" customWidth="1"/>
    <col min="5118" max="5366" width="8.83203125" style="21"/>
    <col min="5367" max="5367" width="24.5" style="21" customWidth="1"/>
    <col min="5368" max="5368" width="8.5" style="21" customWidth="1"/>
    <col min="5369" max="5369" width="3.1640625" style="21" customWidth="1"/>
    <col min="5370" max="5370" width="43.83203125" style="21" customWidth="1"/>
    <col min="5371" max="5371" width="5" style="21" customWidth="1"/>
    <col min="5372" max="5372" width="11.5" style="21" customWidth="1"/>
    <col min="5373" max="5373" width="3.33203125" style="21" customWidth="1"/>
    <col min="5374" max="5622" width="8.83203125" style="21"/>
    <col min="5623" max="5623" width="24.5" style="21" customWidth="1"/>
    <col min="5624" max="5624" width="8.5" style="21" customWidth="1"/>
    <col min="5625" max="5625" width="3.1640625" style="21" customWidth="1"/>
    <col min="5626" max="5626" width="43.83203125" style="21" customWidth="1"/>
    <col min="5627" max="5627" width="5" style="21" customWidth="1"/>
    <col min="5628" max="5628" width="11.5" style="21" customWidth="1"/>
    <col min="5629" max="5629" width="3.33203125" style="21" customWidth="1"/>
    <col min="5630" max="5878" width="8.83203125" style="21"/>
    <col min="5879" max="5879" width="24.5" style="21" customWidth="1"/>
    <col min="5880" max="5880" width="8.5" style="21" customWidth="1"/>
    <col min="5881" max="5881" width="3.1640625" style="21" customWidth="1"/>
    <col min="5882" max="5882" width="43.83203125" style="21" customWidth="1"/>
    <col min="5883" max="5883" width="5" style="21" customWidth="1"/>
    <col min="5884" max="5884" width="11.5" style="21" customWidth="1"/>
    <col min="5885" max="5885" width="3.33203125" style="21" customWidth="1"/>
    <col min="5886" max="6134" width="8.83203125" style="21"/>
    <col min="6135" max="6135" width="24.5" style="21" customWidth="1"/>
    <col min="6136" max="6136" width="8.5" style="21" customWidth="1"/>
    <col min="6137" max="6137" width="3.1640625" style="21" customWidth="1"/>
    <col min="6138" max="6138" width="43.83203125" style="21" customWidth="1"/>
    <col min="6139" max="6139" width="5" style="21" customWidth="1"/>
    <col min="6140" max="6140" width="11.5" style="21" customWidth="1"/>
    <col min="6141" max="6141" width="3.33203125" style="21" customWidth="1"/>
    <col min="6142" max="6390" width="8.83203125" style="21"/>
    <col min="6391" max="6391" width="24.5" style="21" customWidth="1"/>
    <col min="6392" max="6392" width="8.5" style="21" customWidth="1"/>
    <col min="6393" max="6393" width="3.1640625" style="21" customWidth="1"/>
    <col min="6394" max="6394" width="43.83203125" style="21" customWidth="1"/>
    <col min="6395" max="6395" width="5" style="21" customWidth="1"/>
    <col min="6396" max="6396" width="11.5" style="21" customWidth="1"/>
    <col min="6397" max="6397" width="3.33203125" style="21" customWidth="1"/>
    <col min="6398" max="6646" width="8.83203125" style="21"/>
    <col min="6647" max="6647" width="24.5" style="21" customWidth="1"/>
    <col min="6648" max="6648" width="8.5" style="21" customWidth="1"/>
    <col min="6649" max="6649" width="3.1640625" style="21" customWidth="1"/>
    <col min="6650" max="6650" width="43.83203125" style="21" customWidth="1"/>
    <col min="6651" max="6651" width="5" style="21" customWidth="1"/>
    <col min="6652" max="6652" width="11.5" style="21" customWidth="1"/>
    <col min="6653" max="6653" width="3.33203125" style="21" customWidth="1"/>
    <col min="6654" max="6902" width="8.83203125" style="21"/>
    <col min="6903" max="6903" width="24.5" style="21" customWidth="1"/>
    <col min="6904" max="6904" width="8.5" style="21" customWidth="1"/>
    <col min="6905" max="6905" width="3.1640625" style="21" customWidth="1"/>
    <col min="6906" max="6906" width="43.83203125" style="21" customWidth="1"/>
    <col min="6907" max="6907" width="5" style="21" customWidth="1"/>
    <col min="6908" max="6908" width="11.5" style="21" customWidth="1"/>
    <col min="6909" max="6909" width="3.33203125" style="21" customWidth="1"/>
    <col min="6910" max="7158" width="8.83203125" style="21"/>
    <col min="7159" max="7159" width="24.5" style="21" customWidth="1"/>
    <col min="7160" max="7160" width="8.5" style="21" customWidth="1"/>
    <col min="7161" max="7161" width="3.1640625" style="21" customWidth="1"/>
    <col min="7162" max="7162" width="43.83203125" style="21" customWidth="1"/>
    <col min="7163" max="7163" width="5" style="21" customWidth="1"/>
    <col min="7164" max="7164" width="11.5" style="21" customWidth="1"/>
    <col min="7165" max="7165" width="3.33203125" style="21" customWidth="1"/>
    <col min="7166" max="7414" width="8.83203125" style="21"/>
    <col min="7415" max="7415" width="24.5" style="21" customWidth="1"/>
    <col min="7416" max="7416" width="8.5" style="21" customWidth="1"/>
    <col min="7417" max="7417" width="3.1640625" style="21" customWidth="1"/>
    <col min="7418" max="7418" width="43.83203125" style="21" customWidth="1"/>
    <col min="7419" max="7419" width="5" style="21" customWidth="1"/>
    <col min="7420" max="7420" width="11.5" style="21" customWidth="1"/>
    <col min="7421" max="7421" width="3.33203125" style="21" customWidth="1"/>
    <col min="7422" max="7670" width="8.83203125" style="21"/>
    <col min="7671" max="7671" width="24.5" style="21" customWidth="1"/>
    <col min="7672" max="7672" width="8.5" style="21" customWidth="1"/>
    <col min="7673" max="7673" width="3.1640625" style="21" customWidth="1"/>
    <col min="7674" max="7674" width="43.83203125" style="21" customWidth="1"/>
    <col min="7675" max="7675" width="5" style="21" customWidth="1"/>
    <col min="7676" max="7676" width="11.5" style="21" customWidth="1"/>
    <col min="7677" max="7677" width="3.33203125" style="21" customWidth="1"/>
    <col min="7678" max="7926" width="8.83203125" style="21"/>
    <col min="7927" max="7927" width="24.5" style="21" customWidth="1"/>
    <col min="7928" max="7928" width="8.5" style="21" customWidth="1"/>
    <col min="7929" max="7929" width="3.1640625" style="21" customWidth="1"/>
    <col min="7930" max="7930" width="43.83203125" style="21" customWidth="1"/>
    <col min="7931" max="7931" width="5" style="21" customWidth="1"/>
    <col min="7932" max="7932" width="11.5" style="21" customWidth="1"/>
    <col min="7933" max="7933" width="3.33203125" style="21" customWidth="1"/>
    <col min="7934" max="8182" width="8.83203125" style="21"/>
    <col min="8183" max="8183" width="24.5" style="21" customWidth="1"/>
    <col min="8184" max="8184" width="8.5" style="21" customWidth="1"/>
    <col min="8185" max="8185" width="3.1640625" style="21" customWidth="1"/>
    <col min="8186" max="8186" width="43.83203125" style="21" customWidth="1"/>
    <col min="8187" max="8187" width="5" style="21" customWidth="1"/>
    <col min="8188" max="8188" width="11.5" style="21" customWidth="1"/>
    <col min="8189" max="8189" width="3.33203125" style="21" customWidth="1"/>
    <col min="8190" max="8438" width="8.83203125" style="21"/>
    <col min="8439" max="8439" width="24.5" style="21" customWidth="1"/>
    <col min="8440" max="8440" width="8.5" style="21" customWidth="1"/>
    <col min="8441" max="8441" width="3.1640625" style="21" customWidth="1"/>
    <col min="8442" max="8442" width="43.83203125" style="21" customWidth="1"/>
    <col min="8443" max="8443" width="5" style="21" customWidth="1"/>
    <col min="8444" max="8444" width="11.5" style="21" customWidth="1"/>
    <col min="8445" max="8445" width="3.33203125" style="21" customWidth="1"/>
    <col min="8446" max="8694" width="8.83203125" style="21"/>
    <col min="8695" max="8695" width="24.5" style="21" customWidth="1"/>
    <col min="8696" max="8696" width="8.5" style="21" customWidth="1"/>
    <col min="8697" max="8697" width="3.1640625" style="21" customWidth="1"/>
    <col min="8698" max="8698" width="43.83203125" style="21" customWidth="1"/>
    <col min="8699" max="8699" width="5" style="21" customWidth="1"/>
    <col min="8700" max="8700" width="11.5" style="21" customWidth="1"/>
    <col min="8701" max="8701" width="3.33203125" style="21" customWidth="1"/>
    <col min="8702" max="8950" width="8.83203125" style="21"/>
    <col min="8951" max="8951" width="24.5" style="21" customWidth="1"/>
    <col min="8952" max="8952" width="8.5" style="21" customWidth="1"/>
    <col min="8953" max="8953" width="3.1640625" style="21" customWidth="1"/>
    <col min="8954" max="8954" width="43.83203125" style="21" customWidth="1"/>
    <col min="8955" max="8955" width="5" style="21" customWidth="1"/>
    <col min="8956" max="8956" width="11.5" style="21" customWidth="1"/>
    <col min="8957" max="8957" width="3.33203125" style="21" customWidth="1"/>
    <col min="8958" max="9206" width="8.83203125" style="21"/>
    <col min="9207" max="9207" width="24.5" style="21" customWidth="1"/>
    <col min="9208" max="9208" width="8.5" style="21" customWidth="1"/>
    <col min="9209" max="9209" width="3.1640625" style="21" customWidth="1"/>
    <col min="9210" max="9210" width="43.83203125" style="21" customWidth="1"/>
    <col min="9211" max="9211" width="5" style="21" customWidth="1"/>
    <col min="9212" max="9212" width="11.5" style="21" customWidth="1"/>
    <col min="9213" max="9213" width="3.33203125" style="21" customWidth="1"/>
    <col min="9214" max="9462" width="8.83203125" style="21"/>
    <col min="9463" max="9463" width="24.5" style="21" customWidth="1"/>
    <col min="9464" max="9464" width="8.5" style="21" customWidth="1"/>
    <col min="9465" max="9465" width="3.1640625" style="21" customWidth="1"/>
    <col min="9466" max="9466" width="43.83203125" style="21" customWidth="1"/>
    <col min="9467" max="9467" width="5" style="21" customWidth="1"/>
    <col min="9468" max="9468" width="11.5" style="21" customWidth="1"/>
    <col min="9469" max="9469" width="3.33203125" style="21" customWidth="1"/>
    <col min="9470" max="9718" width="8.83203125" style="21"/>
    <col min="9719" max="9719" width="24.5" style="21" customWidth="1"/>
    <col min="9720" max="9720" width="8.5" style="21" customWidth="1"/>
    <col min="9721" max="9721" width="3.1640625" style="21" customWidth="1"/>
    <col min="9722" max="9722" width="43.83203125" style="21" customWidth="1"/>
    <col min="9723" max="9723" width="5" style="21" customWidth="1"/>
    <col min="9724" max="9724" width="11.5" style="21" customWidth="1"/>
    <col min="9725" max="9725" width="3.33203125" style="21" customWidth="1"/>
    <col min="9726" max="9974" width="8.83203125" style="21"/>
    <col min="9975" max="9975" width="24.5" style="21" customWidth="1"/>
    <col min="9976" max="9976" width="8.5" style="21" customWidth="1"/>
    <col min="9977" max="9977" width="3.1640625" style="21" customWidth="1"/>
    <col min="9978" max="9978" width="43.83203125" style="21" customWidth="1"/>
    <col min="9979" max="9979" width="5" style="21" customWidth="1"/>
    <col min="9980" max="9980" width="11.5" style="21" customWidth="1"/>
    <col min="9981" max="9981" width="3.33203125" style="21" customWidth="1"/>
    <col min="9982" max="10230" width="8.83203125" style="21"/>
    <col min="10231" max="10231" width="24.5" style="21" customWidth="1"/>
    <col min="10232" max="10232" width="8.5" style="21" customWidth="1"/>
    <col min="10233" max="10233" width="3.1640625" style="21" customWidth="1"/>
    <col min="10234" max="10234" width="43.83203125" style="21" customWidth="1"/>
    <col min="10235" max="10235" width="5" style="21" customWidth="1"/>
    <col min="10236" max="10236" width="11.5" style="21" customWidth="1"/>
    <col min="10237" max="10237" width="3.33203125" style="21" customWidth="1"/>
    <col min="10238" max="10486" width="8.83203125" style="21"/>
    <col min="10487" max="10487" width="24.5" style="21" customWidth="1"/>
    <col min="10488" max="10488" width="8.5" style="21" customWidth="1"/>
    <col min="10489" max="10489" width="3.1640625" style="21" customWidth="1"/>
    <col min="10490" max="10490" width="43.83203125" style="21" customWidth="1"/>
    <col min="10491" max="10491" width="5" style="21" customWidth="1"/>
    <col min="10492" max="10492" width="11.5" style="21" customWidth="1"/>
    <col min="10493" max="10493" width="3.33203125" style="21" customWidth="1"/>
    <col min="10494" max="10742" width="8.83203125" style="21"/>
    <col min="10743" max="10743" width="24.5" style="21" customWidth="1"/>
    <col min="10744" max="10744" width="8.5" style="21" customWidth="1"/>
    <col min="10745" max="10745" width="3.1640625" style="21" customWidth="1"/>
    <col min="10746" max="10746" width="43.83203125" style="21" customWidth="1"/>
    <col min="10747" max="10747" width="5" style="21" customWidth="1"/>
    <col min="10748" max="10748" width="11.5" style="21" customWidth="1"/>
    <col min="10749" max="10749" width="3.33203125" style="21" customWidth="1"/>
    <col min="10750" max="10998" width="8.83203125" style="21"/>
    <col min="10999" max="10999" width="24.5" style="21" customWidth="1"/>
    <col min="11000" max="11000" width="8.5" style="21" customWidth="1"/>
    <col min="11001" max="11001" width="3.1640625" style="21" customWidth="1"/>
    <col min="11002" max="11002" width="43.83203125" style="21" customWidth="1"/>
    <col min="11003" max="11003" width="5" style="21" customWidth="1"/>
    <col min="11004" max="11004" width="11.5" style="21" customWidth="1"/>
    <col min="11005" max="11005" width="3.33203125" style="21" customWidth="1"/>
    <col min="11006" max="11254" width="8.83203125" style="21"/>
    <col min="11255" max="11255" width="24.5" style="21" customWidth="1"/>
    <col min="11256" max="11256" width="8.5" style="21" customWidth="1"/>
    <col min="11257" max="11257" width="3.1640625" style="21" customWidth="1"/>
    <col min="11258" max="11258" width="43.83203125" style="21" customWidth="1"/>
    <col min="11259" max="11259" width="5" style="21" customWidth="1"/>
    <col min="11260" max="11260" width="11.5" style="21" customWidth="1"/>
    <col min="11261" max="11261" width="3.33203125" style="21" customWidth="1"/>
    <col min="11262" max="11510" width="8.83203125" style="21"/>
    <col min="11511" max="11511" width="24.5" style="21" customWidth="1"/>
    <col min="11512" max="11512" width="8.5" style="21" customWidth="1"/>
    <col min="11513" max="11513" width="3.1640625" style="21" customWidth="1"/>
    <col min="11514" max="11514" width="43.83203125" style="21" customWidth="1"/>
    <col min="11515" max="11515" width="5" style="21" customWidth="1"/>
    <col min="11516" max="11516" width="11.5" style="21" customWidth="1"/>
    <col min="11517" max="11517" width="3.33203125" style="21" customWidth="1"/>
    <col min="11518" max="11766" width="8.83203125" style="21"/>
    <col min="11767" max="11767" width="24.5" style="21" customWidth="1"/>
    <col min="11768" max="11768" width="8.5" style="21" customWidth="1"/>
    <col min="11769" max="11769" width="3.1640625" style="21" customWidth="1"/>
    <col min="11770" max="11770" width="43.83203125" style="21" customWidth="1"/>
    <col min="11771" max="11771" width="5" style="21" customWidth="1"/>
    <col min="11772" max="11772" width="11.5" style="21" customWidth="1"/>
    <col min="11773" max="11773" width="3.33203125" style="21" customWidth="1"/>
    <col min="11774" max="12022" width="8.83203125" style="21"/>
    <col min="12023" max="12023" width="24.5" style="21" customWidth="1"/>
    <col min="12024" max="12024" width="8.5" style="21" customWidth="1"/>
    <col min="12025" max="12025" width="3.1640625" style="21" customWidth="1"/>
    <col min="12026" max="12026" width="43.83203125" style="21" customWidth="1"/>
    <col min="12027" max="12027" width="5" style="21" customWidth="1"/>
    <col min="12028" max="12028" width="11.5" style="21" customWidth="1"/>
    <col min="12029" max="12029" width="3.33203125" style="21" customWidth="1"/>
    <col min="12030" max="12278" width="8.83203125" style="21"/>
    <col min="12279" max="12279" width="24.5" style="21" customWidth="1"/>
    <col min="12280" max="12280" width="8.5" style="21" customWidth="1"/>
    <col min="12281" max="12281" width="3.1640625" style="21" customWidth="1"/>
    <col min="12282" max="12282" width="43.83203125" style="21" customWidth="1"/>
    <col min="12283" max="12283" width="5" style="21" customWidth="1"/>
    <col min="12284" max="12284" width="11.5" style="21" customWidth="1"/>
    <col min="12285" max="12285" width="3.33203125" style="21" customWidth="1"/>
    <col min="12286" max="12534" width="8.83203125" style="21"/>
    <col min="12535" max="12535" width="24.5" style="21" customWidth="1"/>
    <col min="12536" max="12536" width="8.5" style="21" customWidth="1"/>
    <col min="12537" max="12537" width="3.1640625" style="21" customWidth="1"/>
    <col min="12538" max="12538" width="43.83203125" style="21" customWidth="1"/>
    <col min="12539" max="12539" width="5" style="21" customWidth="1"/>
    <col min="12540" max="12540" width="11.5" style="21" customWidth="1"/>
    <col min="12541" max="12541" width="3.33203125" style="21" customWidth="1"/>
    <col min="12542" max="12790" width="8.83203125" style="21"/>
    <col min="12791" max="12791" width="24.5" style="21" customWidth="1"/>
    <col min="12792" max="12792" width="8.5" style="21" customWidth="1"/>
    <col min="12793" max="12793" width="3.1640625" style="21" customWidth="1"/>
    <col min="12794" max="12794" width="43.83203125" style="21" customWidth="1"/>
    <col min="12795" max="12795" width="5" style="21" customWidth="1"/>
    <col min="12796" max="12796" width="11.5" style="21" customWidth="1"/>
    <col min="12797" max="12797" width="3.33203125" style="21" customWidth="1"/>
    <col min="12798" max="13046" width="8.83203125" style="21"/>
    <col min="13047" max="13047" width="24.5" style="21" customWidth="1"/>
    <col min="13048" max="13048" width="8.5" style="21" customWidth="1"/>
    <col min="13049" max="13049" width="3.1640625" style="21" customWidth="1"/>
    <col min="13050" max="13050" width="43.83203125" style="21" customWidth="1"/>
    <col min="13051" max="13051" width="5" style="21" customWidth="1"/>
    <col min="13052" max="13052" width="11.5" style="21" customWidth="1"/>
    <col min="13053" max="13053" width="3.33203125" style="21" customWidth="1"/>
    <col min="13054" max="13302" width="8.83203125" style="21"/>
    <col min="13303" max="13303" width="24.5" style="21" customWidth="1"/>
    <col min="13304" max="13304" width="8.5" style="21" customWidth="1"/>
    <col min="13305" max="13305" width="3.1640625" style="21" customWidth="1"/>
    <col min="13306" max="13306" width="43.83203125" style="21" customWidth="1"/>
    <col min="13307" max="13307" width="5" style="21" customWidth="1"/>
    <col min="13308" max="13308" width="11.5" style="21" customWidth="1"/>
    <col min="13309" max="13309" width="3.33203125" style="21" customWidth="1"/>
    <col min="13310" max="13558" width="8.83203125" style="21"/>
    <col min="13559" max="13559" width="24.5" style="21" customWidth="1"/>
    <col min="13560" max="13560" width="8.5" style="21" customWidth="1"/>
    <col min="13561" max="13561" width="3.1640625" style="21" customWidth="1"/>
    <col min="13562" max="13562" width="43.83203125" style="21" customWidth="1"/>
    <col min="13563" max="13563" width="5" style="21" customWidth="1"/>
    <col min="13564" max="13564" width="11.5" style="21" customWidth="1"/>
    <col min="13565" max="13565" width="3.33203125" style="21" customWidth="1"/>
    <col min="13566" max="13814" width="8.83203125" style="21"/>
    <col min="13815" max="13815" width="24.5" style="21" customWidth="1"/>
    <col min="13816" max="13816" width="8.5" style="21" customWidth="1"/>
    <col min="13817" max="13817" width="3.1640625" style="21" customWidth="1"/>
    <col min="13818" max="13818" width="43.83203125" style="21" customWidth="1"/>
    <col min="13819" max="13819" width="5" style="21" customWidth="1"/>
    <col min="13820" max="13820" width="11.5" style="21" customWidth="1"/>
    <col min="13821" max="13821" width="3.33203125" style="21" customWidth="1"/>
    <col min="13822" max="14070" width="8.83203125" style="21"/>
    <col min="14071" max="14071" width="24.5" style="21" customWidth="1"/>
    <col min="14072" max="14072" width="8.5" style="21" customWidth="1"/>
    <col min="14073" max="14073" width="3.1640625" style="21" customWidth="1"/>
    <col min="14074" max="14074" width="43.83203125" style="21" customWidth="1"/>
    <col min="14075" max="14075" width="5" style="21" customWidth="1"/>
    <col min="14076" max="14076" width="11.5" style="21" customWidth="1"/>
    <col min="14077" max="14077" width="3.33203125" style="21" customWidth="1"/>
    <col min="14078" max="14326" width="8.83203125" style="21"/>
    <col min="14327" max="14327" width="24.5" style="21" customWidth="1"/>
    <col min="14328" max="14328" width="8.5" style="21" customWidth="1"/>
    <col min="14329" max="14329" width="3.1640625" style="21" customWidth="1"/>
    <col min="14330" max="14330" width="43.83203125" style="21" customWidth="1"/>
    <col min="14331" max="14331" width="5" style="21" customWidth="1"/>
    <col min="14332" max="14332" width="11.5" style="21" customWidth="1"/>
    <col min="14333" max="14333" width="3.33203125" style="21" customWidth="1"/>
    <col min="14334" max="14582" width="8.83203125" style="21"/>
    <col min="14583" max="14583" width="24.5" style="21" customWidth="1"/>
    <col min="14584" max="14584" width="8.5" style="21" customWidth="1"/>
    <col min="14585" max="14585" width="3.1640625" style="21" customWidth="1"/>
    <col min="14586" max="14586" width="43.83203125" style="21" customWidth="1"/>
    <col min="14587" max="14587" width="5" style="21" customWidth="1"/>
    <col min="14588" max="14588" width="11.5" style="21" customWidth="1"/>
    <col min="14589" max="14589" width="3.33203125" style="21" customWidth="1"/>
    <col min="14590" max="14838" width="8.83203125" style="21"/>
    <col min="14839" max="14839" width="24.5" style="21" customWidth="1"/>
    <col min="14840" max="14840" width="8.5" style="21" customWidth="1"/>
    <col min="14841" max="14841" width="3.1640625" style="21" customWidth="1"/>
    <col min="14842" max="14842" width="43.83203125" style="21" customWidth="1"/>
    <col min="14843" max="14843" width="5" style="21" customWidth="1"/>
    <col min="14844" max="14844" width="11.5" style="21" customWidth="1"/>
    <col min="14845" max="14845" width="3.33203125" style="21" customWidth="1"/>
    <col min="14846" max="15094" width="8.83203125" style="21"/>
    <col min="15095" max="15095" width="24.5" style="21" customWidth="1"/>
    <col min="15096" max="15096" width="8.5" style="21" customWidth="1"/>
    <col min="15097" max="15097" width="3.1640625" style="21" customWidth="1"/>
    <col min="15098" max="15098" width="43.83203125" style="21" customWidth="1"/>
    <col min="15099" max="15099" width="5" style="21" customWidth="1"/>
    <col min="15100" max="15100" width="11.5" style="21" customWidth="1"/>
    <col min="15101" max="15101" width="3.33203125" style="21" customWidth="1"/>
    <col min="15102" max="15350" width="8.83203125" style="21"/>
    <col min="15351" max="15351" width="24.5" style="21" customWidth="1"/>
    <col min="15352" max="15352" width="8.5" style="21" customWidth="1"/>
    <col min="15353" max="15353" width="3.1640625" style="21" customWidth="1"/>
    <col min="15354" max="15354" width="43.83203125" style="21" customWidth="1"/>
    <col min="15355" max="15355" width="5" style="21" customWidth="1"/>
    <col min="15356" max="15356" width="11.5" style="21" customWidth="1"/>
    <col min="15357" max="15357" width="3.33203125" style="21" customWidth="1"/>
    <col min="15358" max="15606" width="8.83203125" style="21"/>
    <col min="15607" max="15607" width="24.5" style="21" customWidth="1"/>
    <col min="15608" max="15608" width="8.5" style="21" customWidth="1"/>
    <col min="15609" max="15609" width="3.1640625" style="21" customWidth="1"/>
    <col min="15610" max="15610" width="43.83203125" style="21" customWidth="1"/>
    <col min="15611" max="15611" width="5" style="21" customWidth="1"/>
    <col min="15612" max="15612" width="11.5" style="21" customWidth="1"/>
    <col min="15613" max="15613" width="3.33203125" style="21" customWidth="1"/>
    <col min="15614" max="15862" width="8.83203125" style="21"/>
    <col min="15863" max="15863" width="24.5" style="21" customWidth="1"/>
    <col min="15864" max="15864" width="8.5" style="21" customWidth="1"/>
    <col min="15865" max="15865" width="3.1640625" style="21" customWidth="1"/>
    <col min="15866" max="15866" width="43.83203125" style="21" customWidth="1"/>
    <col min="15867" max="15867" width="5" style="21" customWidth="1"/>
    <col min="15868" max="15868" width="11.5" style="21" customWidth="1"/>
    <col min="15869" max="15869" width="3.33203125" style="21" customWidth="1"/>
    <col min="15870" max="16118" width="8.83203125" style="21"/>
    <col min="16119" max="16119" width="24.5" style="21" customWidth="1"/>
    <col min="16120" max="16120" width="8.5" style="21" customWidth="1"/>
    <col min="16121" max="16121" width="3.1640625" style="21" customWidth="1"/>
    <col min="16122" max="16122" width="43.83203125" style="21" customWidth="1"/>
    <col min="16123" max="16123" width="5" style="21" customWidth="1"/>
    <col min="16124" max="16124" width="11.5" style="21" customWidth="1"/>
    <col min="16125" max="16125" width="3.33203125" style="21" customWidth="1"/>
    <col min="16126" max="16384" width="8.83203125" style="21"/>
  </cols>
  <sheetData>
    <row r="1" spans="1:6">
      <c r="A1" s="20"/>
    </row>
    <row r="2" spans="1:6" ht="39" customHeight="1">
      <c r="A2" s="20"/>
      <c r="B2" s="239" t="s">
        <v>184</v>
      </c>
      <c r="C2" s="239"/>
      <c r="D2" s="239"/>
      <c r="E2" s="239"/>
      <c r="F2" s="239"/>
    </row>
    <row r="3" spans="1:6">
      <c r="A3" s="20"/>
      <c r="B3" s="22"/>
      <c r="C3" s="23" t="s">
        <v>34</v>
      </c>
      <c r="D3" s="24" t="s">
        <v>0</v>
      </c>
      <c r="F3" s="25" t="s">
        <v>182</v>
      </c>
    </row>
    <row r="4" spans="1:6">
      <c r="A4" s="20"/>
      <c r="B4" s="26" t="s">
        <v>57</v>
      </c>
      <c r="C4" s="27"/>
      <c r="D4" s="28" t="s">
        <v>55</v>
      </c>
    </row>
    <row r="5" spans="1:6">
      <c r="A5" s="20"/>
      <c r="B5" s="16" t="s">
        <v>39</v>
      </c>
      <c r="C5" s="94">
        <v>25</v>
      </c>
      <c r="D5" s="28" t="s">
        <v>56</v>
      </c>
      <c r="F5" s="29"/>
    </row>
    <row r="6" spans="1:6">
      <c r="A6" s="20"/>
      <c r="B6" s="16" t="s">
        <v>40</v>
      </c>
      <c r="C6" s="94">
        <v>25</v>
      </c>
      <c r="D6" s="28" t="s">
        <v>56</v>
      </c>
      <c r="F6" s="29"/>
    </row>
    <row r="7" spans="1:6">
      <c r="A7" s="20"/>
      <c r="B7" s="16" t="s">
        <v>41</v>
      </c>
      <c r="C7" s="94">
        <v>50</v>
      </c>
      <c r="D7" s="28" t="s">
        <v>56</v>
      </c>
      <c r="F7" s="29"/>
    </row>
    <row r="8" spans="1:6">
      <c r="A8" s="20"/>
      <c r="B8" s="16" t="s">
        <v>42</v>
      </c>
      <c r="C8" s="94">
        <v>50</v>
      </c>
      <c r="D8" s="28" t="s">
        <v>56</v>
      </c>
      <c r="F8" s="29"/>
    </row>
    <row r="9" spans="1:6">
      <c r="A9" s="20"/>
      <c r="B9" s="30" t="s">
        <v>140</v>
      </c>
      <c r="C9" s="94">
        <v>30</v>
      </c>
      <c r="D9" s="28" t="s">
        <v>56</v>
      </c>
      <c r="F9" s="29"/>
    </row>
    <row r="10" spans="1:6">
      <c r="A10" s="20"/>
      <c r="B10" s="16" t="s">
        <v>43</v>
      </c>
      <c r="C10" s="94">
        <v>400</v>
      </c>
      <c r="D10" s="28"/>
      <c r="F10" s="29"/>
    </row>
    <row r="11" spans="1:6">
      <c r="A11" s="20"/>
      <c r="B11" s="16" t="s">
        <v>44</v>
      </c>
      <c r="C11" s="94">
        <f>SUM(C5:C10)*0.065</f>
        <v>37.700000000000003</v>
      </c>
      <c r="D11" s="28" t="s">
        <v>95</v>
      </c>
      <c r="F11" s="29"/>
    </row>
    <row r="12" spans="1:6">
      <c r="A12" s="20"/>
      <c r="B12" s="31" t="s">
        <v>45</v>
      </c>
      <c r="C12" s="32">
        <f>SUM(C5:C11)</f>
        <v>617.70000000000005</v>
      </c>
      <c r="D12" s="28"/>
      <c r="F12" s="29"/>
    </row>
    <row r="13" spans="1:6">
      <c r="A13" s="20"/>
      <c r="B13" s="33"/>
      <c r="C13" s="34"/>
      <c r="D13" s="33"/>
    </row>
    <row r="14" spans="1:6">
      <c r="A14" s="20"/>
      <c r="B14" s="26" t="s">
        <v>58</v>
      </c>
      <c r="C14" s="34"/>
      <c r="D14" s="35"/>
    </row>
    <row r="15" spans="1:6">
      <c r="A15" s="20"/>
      <c r="B15" s="16" t="s">
        <v>46</v>
      </c>
      <c r="C15" s="94">
        <v>1160</v>
      </c>
      <c r="D15" s="28"/>
      <c r="F15" s="29"/>
    </row>
    <row r="16" spans="1:6">
      <c r="A16" s="20"/>
      <c r="B16" s="16" t="s">
        <v>47</v>
      </c>
      <c r="C16" s="94">
        <v>270</v>
      </c>
      <c r="D16" s="28"/>
      <c r="F16" s="29"/>
    </row>
    <row r="17" spans="1:6">
      <c r="A17" s="20"/>
      <c r="B17" s="16" t="s">
        <v>48</v>
      </c>
      <c r="C17" s="94">
        <v>50</v>
      </c>
      <c r="D17" s="28"/>
      <c r="F17" s="29"/>
    </row>
    <row r="18" spans="1:6">
      <c r="A18" s="20"/>
      <c r="B18" s="16" t="s">
        <v>49</v>
      </c>
      <c r="C18" s="94">
        <v>250</v>
      </c>
      <c r="D18" s="28"/>
      <c r="F18" s="29"/>
    </row>
    <row r="19" spans="1:6">
      <c r="A19" s="20"/>
      <c r="B19" s="16" t="s">
        <v>90</v>
      </c>
      <c r="C19" s="94">
        <v>1200</v>
      </c>
      <c r="D19" s="28"/>
      <c r="F19" s="29"/>
    </row>
    <row r="20" spans="1:6">
      <c r="A20" s="20"/>
      <c r="B20" s="30" t="s">
        <v>139</v>
      </c>
      <c r="C20" s="94">
        <v>2000</v>
      </c>
      <c r="D20" s="28"/>
      <c r="F20" s="29"/>
    </row>
    <row r="21" spans="1:6">
      <c r="A21" s="20"/>
      <c r="B21" s="16" t="s">
        <v>50</v>
      </c>
      <c r="C21" s="94">
        <v>2000</v>
      </c>
      <c r="D21" s="28"/>
      <c r="F21" s="29"/>
    </row>
    <row r="22" spans="1:6">
      <c r="A22" s="20"/>
      <c r="B22" s="16" t="s">
        <v>51</v>
      </c>
      <c r="C22" s="94">
        <v>200</v>
      </c>
      <c r="D22" s="28" t="s">
        <v>91</v>
      </c>
      <c r="F22" s="29"/>
    </row>
    <row r="23" spans="1:6">
      <c r="A23" s="20"/>
      <c r="B23" s="16" t="s">
        <v>44</v>
      </c>
      <c r="C23" s="94">
        <f>(SUM(C15:C22)*0.065)</f>
        <v>463.45</v>
      </c>
      <c r="D23" s="28" t="s">
        <v>96</v>
      </c>
      <c r="F23" s="29"/>
    </row>
    <row r="24" spans="1:6">
      <c r="A24" s="20"/>
      <c r="B24" s="36" t="s">
        <v>52</v>
      </c>
      <c r="C24" s="32">
        <f>+SUM(C15:C23)</f>
        <v>7593.45</v>
      </c>
      <c r="D24" s="28"/>
      <c r="F24" s="29"/>
    </row>
    <row r="25" spans="1:6">
      <c r="A25" s="20"/>
      <c r="B25" s="37"/>
      <c r="C25" s="34"/>
      <c r="D25" s="33"/>
    </row>
    <row r="26" spans="1:6">
      <c r="A26" s="20"/>
      <c r="B26" s="38" t="s">
        <v>53</v>
      </c>
      <c r="C26" s="39"/>
      <c r="D26" s="40"/>
    </row>
    <row r="27" spans="1:6">
      <c r="A27" s="20"/>
      <c r="B27" s="38" t="s">
        <v>54</v>
      </c>
      <c r="C27" s="39">
        <f>+C12+C24</f>
        <v>8211.15</v>
      </c>
      <c r="D27" s="28"/>
      <c r="F27" s="29"/>
    </row>
    <row r="28" spans="1:6">
      <c r="A28" s="20"/>
      <c r="B28" s="17"/>
      <c r="C28" s="41"/>
      <c r="D28" s="17"/>
      <c r="F28" s="42"/>
    </row>
    <row r="29" spans="1:6">
      <c r="A29" s="20"/>
      <c r="C29" s="43"/>
    </row>
    <row r="30" spans="1:6">
      <c r="A30" s="20"/>
      <c r="C30" s="43"/>
    </row>
    <row r="31" spans="1:6">
      <c r="A31" s="20"/>
      <c r="C31" s="43"/>
    </row>
    <row r="32" spans="1:6">
      <c r="A32" s="20"/>
      <c r="C32" s="43"/>
    </row>
    <row r="33" spans="1:3">
      <c r="A33" s="20"/>
      <c r="C33" s="43"/>
    </row>
    <row r="34" spans="1:3">
      <c r="A34" s="20"/>
      <c r="C34" s="43"/>
    </row>
    <row r="35" spans="1:3">
      <c r="A35" s="20"/>
      <c r="C35" s="43"/>
    </row>
    <row r="36" spans="1:3">
      <c r="A36" s="20"/>
      <c r="C36" s="43"/>
    </row>
    <row r="37" spans="1:3">
      <c r="A37" s="20"/>
      <c r="C37" s="43"/>
    </row>
    <row r="38" spans="1:3">
      <c r="C38" s="43"/>
    </row>
  </sheetData>
  <sheetProtection sheet="1" objects="1" scenarios="1"/>
  <protectedRanges>
    <protectedRange sqref="A1:XFD11 A13:XFD23 A25:XFD25 A28:XFD38" name="Range1"/>
  </protectedRanges>
  <mergeCells count="1">
    <mergeCell ref="B2:F2"/>
  </mergeCells>
  <pageMargins left="0.7" right="0.7" top="0.75" bottom="0.75" header="0.3" footer="0.3"/>
  <pageSetup orientation="portrait"/>
  <ignoredErrors>
    <ignoredError sqref="C23" unlockedFormula="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53"/>
  <sheetViews>
    <sheetView workbookViewId="0"/>
  </sheetViews>
  <sheetFormatPr baseColWidth="10" defaultColWidth="8.83203125" defaultRowHeight="13" x14ac:dyDescent="0"/>
  <cols>
    <col min="1" max="1" width="8.83203125" style="21"/>
    <col min="2" max="2" width="1.83203125" style="21" customWidth="1"/>
    <col min="3" max="3" width="33.5" style="21" customWidth="1"/>
    <col min="4" max="4" width="12.83203125" style="21" customWidth="1"/>
    <col min="5" max="5" width="16.33203125" style="44" customWidth="1"/>
    <col min="6" max="6" width="72.5" style="21" customWidth="1"/>
    <col min="7" max="7" width="3.33203125" style="20" customWidth="1"/>
    <col min="8" max="8" width="19.33203125" style="21" customWidth="1"/>
    <col min="9" max="241" width="8.83203125" style="21"/>
    <col min="242" max="242" width="1.83203125" style="21" customWidth="1"/>
    <col min="243" max="243" width="2.6640625" style="21" customWidth="1"/>
    <col min="244" max="244" width="17.6640625" style="21" customWidth="1"/>
    <col min="245" max="245" width="3.1640625" style="21" customWidth="1"/>
    <col min="246" max="246" width="9.5" style="21" customWidth="1"/>
    <col min="247" max="247" width="10.5" style="21" customWidth="1"/>
    <col min="248" max="248" width="10.83203125" style="21" customWidth="1"/>
    <col min="249" max="250" width="8.83203125" style="21"/>
    <col min="251" max="251" width="23.5" style="21" customWidth="1"/>
    <col min="252" max="252" width="3.33203125" style="21" customWidth="1"/>
    <col min="253" max="253" width="9" style="21" customWidth="1"/>
    <col min="254" max="254" width="1" style="21" customWidth="1"/>
    <col min="255" max="255" width="9.33203125" style="21" customWidth="1"/>
    <col min="256" max="256" width="4.5" style="21" customWidth="1"/>
    <col min="257" max="257" width="13.83203125" style="21" customWidth="1"/>
    <col min="258" max="497" width="8.83203125" style="21"/>
    <col min="498" max="498" width="1.83203125" style="21" customWidth="1"/>
    <col min="499" max="499" width="2.6640625" style="21" customWidth="1"/>
    <col min="500" max="500" width="17.6640625" style="21" customWidth="1"/>
    <col min="501" max="501" width="3.1640625" style="21" customWidth="1"/>
    <col min="502" max="502" width="9.5" style="21" customWidth="1"/>
    <col min="503" max="503" width="10.5" style="21" customWidth="1"/>
    <col min="504" max="504" width="10.83203125" style="21" customWidth="1"/>
    <col min="505" max="506" width="8.83203125" style="21"/>
    <col min="507" max="507" width="23.5" style="21" customWidth="1"/>
    <col min="508" max="508" width="3.33203125" style="21" customWidth="1"/>
    <col min="509" max="509" width="9" style="21" customWidth="1"/>
    <col min="510" max="510" width="1" style="21" customWidth="1"/>
    <col min="511" max="511" width="9.33203125" style="21" customWidth="1"/>
    <col min="512" max="512" width="4.5" style="21" customWidth="1"/>
    <col min="513" max="513" width="13.83203125" style="21" customWidth="1"/>
    <col min="514" max="753" width="8.83203125" style="21"/>
    <col min="754" max="754" width="1.83203125" style="21" customWidth="1"/>
    <col min="755" max="755" width="2.6640625" style="21" customWidth="1"/>
    <col min="756" max="756" width="17.6640625" style="21" customWidth="1"/>
    <col min="757" max="757" width="3.1640625" style="21" customWidth="1"/>
    <col min="758" max="758" width="9.5" style="21" customWidth="1"/>
    <col min="759" max="759" width="10.5" style="21" customWidth="1"/>
    <col min="760" max="760" width="10.83203125" style="21" customWidth="1"/>
    <col min="761" max="762" width="8.83203125" style="21"/>
    <col min="763" max="763" width="23.5" style="21" customWidth="1"/>
    <col min="764" max="764" width="3.33203125" style="21" customWidth="1"/>
    <col min="765" max="765" width="9" style="21" customWidth="1"/>
    <col min="766" max="766" width="1" style="21" customWidth="1"/>
    <col min="767" max="767" width="9.33203125" style="21" customWidth="1"/>
    <col min="768" max="768" width="4.5" style="21" customWidth="1"/>
    <col min="769" max="769" width="13.83203125" style="21" customWidth="1"/>
    <col min="770" max="1009" width="8.83203125" style="21"/>
    <col min="1010" max="1010" width="1.83203125" style="21" customWidth="1"/>
    <col min="1011" max="1011" width="2.6640625" style="21" customWidth="1"/>
    <col min="1012" max="1012" width="17.6640625" style="21" customWidth="1"/>
    <col min="1013" max="1013" width="3.1640625" style="21" customWidth="1"/>
    <col min="1014" max="1014" width="9.5" style="21" customWidth="1"/>
    <col min="1015" max="1015" width="10.5" style="21" customWidth="1"/>
    <col min="1016" max="1016" width="10.83203125" style="21" customWidth="1"/>
    <col min="1017" max="1018" width="8.83203125" style="21"/>
    <col min="1019" max="1019" width="23.5" style="21" customWidth="1"/>
    <col min="1020" max="1020" width="3.33203125" style="21" customWidth="1"/>
    <col min="1021" max="1021" width="9" style="21" customWidth="1"/>
    <col min="1022" max="1022" width="1" style="21" customWidth="1"/>
    <col min="1023" max="1023" width="9.33203125" style="21" customWidth="1"/>
    <col min="1024" max="1024" width="4.5" style="21" customWidth="1"/>
    <col min="1025" max="1025" width="13.83203125" style="21" customWidth="1"/>
    <col min="1026" max="1265" width="8.83203125" style="21"/>
    <col min="1266" max="1266" width="1.83203125" style="21" customWidth="1"/>
    <col min="1267" max="1267" width="2.6640625" style="21" customWidth="1"/>
    <col min="1268" max="1268" width="17.6640625" style="21" customWidth="1"/>
    <col min="1269" max="1269" width="3.1640625" style="21" customWidth="1"/>
    <col min="1270" max="1270" width="9.5" style="21" customWidth="1"/>
    <col min="1271" max="1271" width="10.5" style="21" customWidth="1"/>
    <col min="1272" max="1272" width="10.83203125" style="21" customWidth="1"/>
    <col min="1273" max="1274" width="8.83203125" style="21"/>
    <col min="1275" max="1275" width="23.5" style="21" customWidth="1"/>
    <col min="1276" max="1276" width="3.33203125" style="21" customWidth="1"/>
    <col min="1277" max="1277" width="9" style="21" customWidth="1"/>
    <col min="1278" max="1278" width="1" style="21" customWidth="1"/>
    <col min="1279" max="1279" width="9.33203125" style="21" customWidth="1"/>
    <col min="1280" max="1280" width="4.5" style="21" customWidth="1"/>
    <col min="1281" max="1281" width="13.83203125" style="21" customWidth="1"/>
    <col min="1282" max="1521" width="8.83203125" style="21"/>
    <col min="1522" max="1522" width="1.83203125" style="21" customWidth="1"/>
    <col min="1523" max="1523" width="2.6640625" style="21" customWidth="1"/>
    <col min="1524" max="1524" width="17.6640625" style="21" customWidth="1"/>
    <col min="1525" max="1525" width="3.1640625" style="21" customWidth="1"/>
    <col min="1526" max="1526" width="9.5" style="21" customWidth="1"/>
    <col min="1527" max="1527" width="10.5" style="21" customWidth="1"/>
    <col min="1528" max="1528" width="10.83203125" style="21" customWidth="1"/>
    <col min="1529" max="1530" width="8.83203125" style="21"/>
    <col min="1531" max="1531" width="23.5" style="21" customWidth="1"/>
    <col min="1532" max="1532" width="3.33203125" style="21" customWidth="1"/>
    <col min="1533" max="1533" width="9" style="21" customWidth="1"/>
    <col min="1534" max="1534" width="1" style="21" customWidth="1"/>
    <col min="1535" max="1535" width="9.33203125" style="21" customWidth="1"/>
    <col min="1536" max="1536" width="4.5" style="21" customWidth="1"/>
    <col min="1537" max="1537" width="13.83203125" style="21" customWidth="1"/>
    <col min="1538" max="1777" width="8.83203125" style="21"/>
    <col min="1778" max="1778" width="1.83203125" style="21" customWidth="1"/>
    <col min="1779" max="1779" width="2.6640625" style="21" customWidth="1"/>
    <col min="1780" max="1780" width="17.6640625" style="21" customWidth="1"/>
    <col min="1781" max="1781" width="3.1640625" style="21" customWidth="1"/>
    <col min="1782" max="1782" width="9.5" style="21" customWidth="1"/>
    <col min="1783" max="1783" width="10.5" style="21" customWidth="1"/>
    <col min="1784" max="1784" width="10.83203125" style="21" customWidth="1"/>
    <col min="1785" max="1786" width="8.83203125" style="21"/>
    <col min="1787" max="1787" width="23.5" style="21" customWidth="1"/>
    <col min="1788" max="1788" width="3.33203125" style="21" customWidth="1"/>
    <col min="1789" max="1789" width="9" style="21" customWidth="1"/>
    <col min="1790" max="1790" width="1" style="21" customWidth="1"/>
    <col min="1791" max="1791" width="9.33203125" style="21" customWidth="1"/>
    <col min="1792" max="1792" width="4.5" style="21" customWidth="1"/>
    <col min="1793" max="1793" width="13.83203125" style="21" customWidth="1"/>
    <col min="1794" max="2033" width="8.83203125" style="21"/>
    <col min="2034" max="2034" width="1.83203125" style="21" customWidth="1"/>
    <col min="2035" max="2035" width="2.6640625" style="21" customWidth="1"/>
    <col min="2036" max="2036" width="17.6640625" style="21" customWidth="1"/>
    <col min="2037" max="2037" width="3.1640625" style="21" customWidth="1"/>
    <col min="2038" max="2038" width="9.5" style="21" customWidth="1"/>
    <col min="2039" max="2039" width="10.5" style="21" customWidth="1"/>
    <col min="2040" max="2040" width="10.83203125" style="21" customWidth="1"/>
    <col min="2041" max="2042" width="8.83203125" style="21"/>
    <col min="2043" max="2043" width="23.5" style="21" customWidth="1"/>
    <col min="2044" max="2044" width="3.33203125" style="21" customWidth="1"/>
    <col min="2045" max="2045" width="9" style="21" customWidth="1"/>
    <col min="2046" max="2046" width="1" style="21" customWidth="1"/>
    <col min="2047" max="2047" width="9.33203125" style="21" customWidth="1"/>
    <col min="2048" max="2048" width="4.5" style="21" customWidth="1"/>
    <col min="2049" max="2049" width="13.83203125" style="21" customWidth="1"/>
    <col min="2050" max="2289" width="8.83203125" style="21"/>
    <col min="2290" max="2290" width="1.83203125" style="21" customWidth="1"/>
    <col min="2291" max="2291" width="2.6640625" style="21" customWidth="1"/>
    <col min="2292" max="2292" width="17.6640625" style="21" customWidth="1"/>
    <col min="2293" max="2293" width="3.1640625" style="21" customWidth="1"/>
    <col min="2294" max="2294" width="9.5" style="21" customWidth="1"/>
    <col min="2295" max="2295" width="10.5" style="21" customWidth="1"/>
    <col min="2296" max="2296" width="10.83203125" style="21" customWidth="1"/>
    <col min="2297" max="2298" width="8.83203125" style="21"/>
    <col min="2299" max="2299" width="23.5" style="21" customWidth="1"/>
    <col min="2300" max="2300" width="3.33203125" style="21" customWidth="1"/>
    <col min="2301" max="2301" width="9" style="21" customWidth="1"/>
    <col min="2302" max="2302" width="1" style="21" customWidth="1"/>
    <col min="2303" max="2303" width="9.33203125" style="21" customWidth="1"/>
    <col min="2304" max="2304" width="4.5" style="21" customWidth="1"/>
    <col min="2305" max="2305" width="13.83203125" style="21" customWidth="1"/>
    <col min="2306" max="2545" width="8.83203125" style="21"/>
    <col min="2546" max="2546" width="1.83203125" style="21" customWidth="1"/>
    <col min="2547" max="2547" width="2.6640625" style="21" customWidth="1"/>
    <col min="2548" max="2548" width="17.6640625" style="21" customWidth="1"/>
    <col min="2549" max="2549" width="3.1640625" style="21" customWidth="1"/>
    <col min="2550" max="2550" width="9.5" style="21" customWidth="1"/>
    <col min="2551" max="2551" width="10.5" style="21" customWidth="1"/>
    <col min="2552" max="2552" width="10.83203125" style="21" customWidth="1"/>
    <col min="2553" max="2554" width="8.83203125" style="21"/>
    <col min="2555" max="2555" width="23.5" style="21" customWidth="1"/>
    <col min="2556" max="2556" width="3.33203125" style="21" customWidth="1"/>
    <col min="2557" max="2557" width="9" style="21" customWidth="1"/>
    <col min="2558" max="2558" width="1" style="21" customWidth="1"/>
    <col min="2559" max="2559" width="9.33203125" style="21" customWidth="1"/>
    <col min="2560" max="2560" width="4.5" style="21" customWidth="1"/>
    <col min="2561" max="2561" width="13.83203125" style="21" customWidth="1"/>
    <col min="2562" max="2801" width="8.83203125" style="21"/>
    <col min="2802" max="2802" width="1.83203125" style="21" customWidth="1"/>
    <col min="2803" max="2803" width="2.6640625" style="21" customWidth="1"/>
    <col min="2804" max="2804" width="17.6640625" style="21" customWidth="1"/>
    <col min="2805" max="2805" width="3.1640625" style="21" customWidth="1"/>
    <col min="2806" max="2806" width="9.5" style="21" customWidth="1"/>
    <col min="2807" max="2807" width="10.5" style="21" customWidth="1"/>
    <col min="2808" max="2808" width="10.83203125" style="21" customWidth="1"/>
    <col min="2809" max="2810" width="8.83203125" style="21"/>
    <col min="2811" max="2811" width="23.5" style="21" customWidth="1"/>
    <col min="2812" max="2812" width="3.33203125" style="21" customWidth="1"/>
    <col min="2813" max="2813" width="9" style="21" customWidth="1"/>
    <col min="2814" max="2814" width="1" style="21" customWidth="1"/>
    <col min="2815" max="2815" width="9.33203125" style="21" customWidth="1"/>
    <col min="2816" max="2816" width="4.5" style="21" customWidth="1"/>
    <col min="2817" max="2817" width="13.83203125" style="21" customWidth="1"/>
    <col min="2818" max="3057" width="8.83203125" style="21"/>
    <col min="3058" max="3058" width="1.83203125" style="21" customWidth="1"/>
    <col min="3059" max="3059" width="2.6640625" style="21" customWidth="1"/>
    <col min="3060" max="3060" width="17.6640625" style="21" customWidth="1"/>
    <col min="3061" max="3061" width="3.1640625" style="21" customWidth="1"/>
    <col min="3062" max="3062" width="9.5" style="21" customWidth="1"/>
    <col min="3063" max="3063" width="10.5" style="21" customWidth="1"/>
    <col min="3064" max="3064" width="10.83203125" style="21" customWidth="1"/>
    <col min="3065" max="3066" width="8.83203125" style="21"/>
    <col min="3067" max="3067" width="23.5" style="21" customWidth="1"/>
    <col min="3068" max="3068" width="3.33203125" style="21" customWidth="1"/>
    <col min="3069" max="3069" width="9" style="21" customWidth="1"/>
    <col min="3070" max="3070" width="1" style="21" customWidth="1"/>
    <col min="3071" max="3071" width="9.33203125" style="21" customWidth="1"/>
    <col min="3072" max="3072" width="4.5" style="21" customWidth="1"/>
    <col min="3073" max="3073" width="13.83203125" style="21" customWidth="1"/>
    <col min="3074" max="3313" width="8.83203125" style="21"/>
    <col min="3314" max="3314" width="1.83203125" style="21" customWidth="1"/>
    <col min="3315" max="3315" width="2.6640625" style="21" customWidth="1"/>
    <col min="3316" max="3316" width="17.6640625" style="21" customWidth="1"/>
    <col min="3317" max="3317" width="3.1640625" style="21" customWidth="1"/>
    <col min="3318" max="3318" width="9.5" style="21" customWidth="1"/>
    <col min="3319" max="3319" width="10.5" style="21" customWidth="1"/>
    <col min="3320" max="3320" width="10.83203125" style="21" customWidth="1"/>
    <col min="3321" max="3322" width="8.83203125" style="21"/>
    <col min="3323" max="3323" width="23.5" style="21" customWidth="1"/>
    <col min="3324" max="3324" width="3.33203125" style="21" customWidth="1"/>
    <col min="3325" max="3325" width="9" style="21" customWidth="1"/>
    <col min="3326" max="3326" width="1" style="21" customWidth="1"/>
    <col min="3327" max="3327" width="9.33203125" style="21" customWidth="1"/>
    <col min="3328" max="3328" width="4.5" style="21" customWidth="1"/>
    <col min="3329" max="3329" width="13.83203125" style="21" customWidth="1"/>
    <col min="3330" max="3569" width="8.83203125" style="21"/>
    <col min="3570" max="3570" width="1.83203125" style="21" customWidth="1"/>
    <col min="3571" max="3571" width="2.6640625" style="21" customWidth="1"/>
    <col min="3572" max="3572" width="17.6640625" style="21" customWidth="1"/>
    <col min="3573" max="3573" width="3.1640625" style="21" customWidth="1"/>
    <col min="3574" max="3574" width="9.5" style="21" customWidth="1"/>
    <col min="3575" max="3575" width="10.5" style="21" customWidth="1"/>
    <col min="3576" max="3576" width="10.83203125" style="21" customWidth="1"/>
    <col min="3577" max="3578" width="8.83203125" style="21"/>
    <col min="3579" max="3579" width="23.5" style="21" customWidth="1"/>
    <col min="3580" max="3580" width="3.33203125" style="21" customWidth="1"/>
    <col min="3581" max="3581" width="9" style="21" customWidth="1"/>
    <col min="3582" max="3582" width="1" style="21" customWidth="1"/>
    <col min="3583" max="3583" width="9.33203125" style="21" customWidth="1"/>
    <col min="3584" max="3584" width="4.5" style="21" customWidth="1"/>
    <col min="3585" max="3585" width="13.83203125" style="21" customWidth="1"/>
    <col min="3586" max="3825" width="8.83203125" style="21"/>
    <col min="3826" max="3826" width="1.83203125" style="21" customWidth="1"/>
    <col min="3827" max="3827" width="2.6640625" style="21" customWidth="1"/>
    <col min="3828" max="3828" width="17.6640625" style="21" customWidth="1"/>
    <col min="3829" max="3829" width="3.1640625" style="21" customWidth="1"/>
    <col min="3830" max="3830" width="9.5" style="21" customWidth="1"/>
    <col min="3831" max="3831" width="10.5" style="21" customWidth="1"/>
    <col min="3832" max="3832" width="10.83203125" style="21" customWidth="1"/>
    <col min="3833" max="3834" width="8.83203125" style="21"/>
    <col min="3835" max="3835" width="23.5" style="21" customWidth="1"/>
    <col min="3836" max="3836" width="3.33203125" style="21" customWidth="1"/>
    <col min="3837" max="3837" width="9" style="21" customWidth="1"/>
    <col min="3838" max="3838" width="1" style="21" customWidth="1"/>
    <col min="3839" max="3839" width="9.33203125" style="21" customWidth="1"/>
    <col min="3840" max="3840" width="4.5" style="21" customWidth="1"/>
    <col min="3841" max="3841" width="13.83203125" style="21" customWidth="1"/>
    <col min="3842" max="4081" width="8.83203125" style="21"/>
    <col min="4082" max="4082" width="1.83203125" style="21" customWidth="1"/>
    <col min="4083" max="4083" width="2.6640625" style="21" customWidth="1"/>
    <col min="4084" max="4084" width="17.6640625" style="21" customWidth="1"/>
    <col min="4085" max="4085" width="3.1640625" style="21" customWidth="1"/>
    <col min="4086" max="4086" width="9.5" style="21" customWidth="1"/>
    <col min="4087" max="4087" width="10.5" style="21" customWidth="1"/>
    <col min="4088" max="4088" width="10.83203125" style="21" customWidth="1"/>
    <col min="4089" max="4090" width="8.83203125" style="21"/>
    <col min="4091" max="4091" width="23.5" style="21" customWidth="1"/>
    <col min="4092" max="4092" width="3.33203125" style="21" customWidth="1"/>
    <col min="4093" max="4093" width="9" style="21" customWidth="1"/>
    <col min="4094" max="4094" width="1" style="21" customWidth="1"/>
    <col min="4095" max="4095" width="9.33203125" style="21" customWidth="1"/>
    <col min="4096" max="4096" width="4.5" style="21" customWidth="1"/>
    <col min="4097" max="4097" width="13.83203125" style="21" customWidth="1"/>
    <col min="4098" max="4337" width="8.83203125" style="21"/>
    <col min="4338" max="4338" width="1.83203125" style="21" customWidth="1"/>
    <col min="4339" max="4339" width="2.6640625" style="21" customWidth="1"/>
    <col min="4340" max="4340" width="17.6640625" style="21" customWidth="1"/>
    <col min="4341" max="4341" width="3.1640625" style="21" customWidth="1"/>
    <col min="4342" max="4342" width="9.5" style="21" customWidth="1"/>
    <col min="4343" max="4343" width="10.5" style="21" customWidth="1"/>
    <col min="4344" max="4344" width="10.83203125" style="21" customWidth="1"/>
    <col min="4345" max="4346" width="8.83203125" style="21"/>
    <col min="4347" max="4347" width="23.5" style="21" customWidth="1"/>
    <col min="4348" max="4348" width="3.33203125" style="21" customWidth="1"/>
    <col min="4349" max="4349" width="9" style="21" customWidth="1"/>
    <col min="4350" max="4350" width="1" style="21" customWidth="1"/>
    <col min="4351" max="4351" width="9.33203125" style="21" customWidth="1"/>
    <col min="4352" max="4352" width="4.5" style="21" customWidth="1"/>
    <col min="4353" max="4353" width="13.83203125" style="21" customWidth="1"/>
    <col min="4354" max="4593" width="8.83203125" style="21"/>
    <col min="4594" max="4594" width="1.83203125" style="21" customWidth="1"/>
    <col min="4595" max="4595" width="2.6640625" style="21" customWidth="1"/>
    <col min="4596" max="4596" width="17.6640625" style="21" customWidth="1"/>
    <col min="4597" max="4597" width="3.1640625" style="21" customWidth="1"/>
    <col min="4598" max="4598" width="9.5" style="21" customWidth="1"/>
    <col min="4599" max="4599" width="10.5" style="21" customWidth="1"/>
    <col min="4600" max="4600" width="10.83203125" style="21" customWidth="1"/>
    <col min="4601" max="4602" width="8.83203125" style="21"/>
    <col min="4603" max="4603" width="23.5" style="21" customWidth="1"/>
    <col min="4604" max="4604" width="3.33203125" style="21" customWidth="1"/>
    <col min="4605" max="4605" width="9" style="21" customWidth="1"/>
    <col min="4606" max="4606" width="1" style="21" customWidth="1"/>
    <col min="4607" max="4607" width="9.33203125" style="21" customWidth="1"/>
    <col min="4608" max="4608" width="4.5" style="21" customWidth="1"/>
    <col min="4609" max="4609" width="13.83203125" style="21" customWidth="1"/>
    <col min="4610" max="4849" width="8.83203125" style="21"/>
    <col min="4850" max="4850" width="1.83203125" style="21" customWidth="1"/>
    <col min="4851" max="4851" width="2.6640625" style="21" customWidth="1"/>
    <col min="4852" max="4852" width="17.6640625" style="21" customWidth="1"/>
    <col min="4853" max="4853" width="3.1640625" style="21" customWidth="1"/>
    <col min="4854" max="4854" width="9.5" style="21" customWidth="1"/>
    <col min="4855" max="4855" width="10.5" style="21" customWidth="1"/>
    <col min="4856" max="4856" width="10.83203125" style="21" customWidth="1"/>
    <col min="4857" max="4858" width="8.83203125" style="21"/>
    <col min="4859" max="4859" width="23.5" style="21" customWidth="1"/>
    <col min="4860" max="4860" width="3.33203125" style="21" customWidth="1"/>
    <col min="4861" max="4861" width="9" style="21" customWidth="1"/>
    <col min="4862" max="4862" width="1" style="21" customWidth="1"/>
    <col min="4863" max="4863" width="9.33203125" style="21" customWidth="1"/>
    <col min="4864" max="4864" width="4.5" style="21" customWidth="1"/>
    <col min="4865" max="4865" width="13.83203125" style="21" customWidth="1"/>
    <col min="4866" max="5105" width="8.83203125" style="21"/>
    <col min="5106" max="5106" width="1.83203125" style="21" customWidth="1"/>
    <col min="5107" max="5107" width="2.6640625" style="21" customWidth="1"/>
    <col min="5108" max="5108" width="17.6640625" style="21" customWidth="1"/>
    <col min="5109" max="5109" width="3.1640625" style="21" customWidth="1"/>
    <col min="5110" max="5110" width="9.5" style="21" customWidth="1"/>
    <col min="5111" max="5111" width="10.5" style="21" customWidth="1"/>
    <col min="5112" max="5112" width="10.83203125" style="21" customWidth="1"/>
    <col min="5113" max="5114" width="8.83203125" style="21"/>
    <col min="5115" max="5115" width="23.5" style="21" customWidth="1"/>
    <col min="5116" max="5116" width="3.33203125" style="21" customWidth="1"/>
    <col min="5117" max="5117" width="9" style="21" customWidth="1"/>
    <col min="5118" max="5118" width="1" style="21" customWidth="1"/>
    <col min="5119" max="5119" width="9.33203125" style="21" customWidth="1"/>
    <col min="5120" max="5120" width="4.5" style="21" customWidth="1"/>
    <col min="5121" max="5121" width="13.83203125" style="21" customWidth="1"/>
    <col min="5122" max="5361" width="8.83203125" style="21"/>
    <col min="5362" max="5362" width="1.83203125" style="21" customWidth="1"/>
    <col min="5363" max="5363" width="2.6640625" style="21" customWidth="1"/>
    <col min="5364" max="5364" width="17.6640625" style="21" customWidth="1"/>
    <col min="5365" max="5365" width="3.1640625" style="21" customWidth="1"/>
    <col min="5366" max="5366" width="9.5" style="21" customWidth="1"/>
    <col min="5367" max="5367" width="10.5" style="21" customWidth="1"/>
    <col min="5368" max="5368" width="10.83203125" style="21" customWidth="1"/>
    <col min="5369" max="5370" width="8.83203125" style="21"/>
    <col min="5371" max="5371" width="23.5" style="21" customWidth="1"/>
    <col min="5372" max="5372" width="3.33203125" style="21" customWidth="1"/>
    <col min="5373" max="5373" width="9" style="21" customWidth="1"/>
    <col min="5374" max="5374" width="1" style="21" customWidth="1"/>
    <col min="5375" max="5375" width="9.33203125" style="21" customWidth="1"/>
    <col min="5376" max="5376" width="4.5" style="21" customWidth="1"/>
    <col min="5377" max="5377" width="13.83203125" style="21" customWidth="1"/>
    <col min="5378" max="5617" width="8.83203125" style="21"/>
    <col min="5618" max="5618" width="1.83203125" style="21" customWidth="1"/>
    <col min="5619" max="5619" width="2.6640625" style="21" customWidth="1"/>
    <col min="5620" max="5620" width="17.6640625" style="21" customWidth="1"/>
    <col min="5621" max="5621" width="3.1640625" style="21" customWidth="1"/>
    <col min="5622" max="5622" width="9.5" style="21" customWidth="1"/>
    <col min="5623" max="5623" width="10.5" style="21" customWidth="1"/>
    <col min="5624" max="5624" width="10.83203125" style="21" customWidth="1"/>
    <col min="5625" max="5626" width="8.83203125" style="21"/>
    <col min="5627" max="5627" width="23.5" style="21" customWidth="1"/>
    <col min="5628" max="5628" width="3.33203125" style="21" customWidth="1"/>
    <col min="5629" max="5629" width="9" style="21" customWidth="1"/>
    <col min="5630" max="5630" width="1" style="21" customWidth="1"/>
    <col min="5631" max="5631" width="9.33203125" style="21" customWidth="1"/>
    <col min="5632" max="5632" width="4.5" style="21" customWidth="1"/>
    <col min="5633" max="5633" width="13.83203125" style="21" customWidth="1"/>
    <col min="5634" max="5873" width="8.83203125" style="21"/>
    <col min="5874" max="5874" width="1.83203125" style="21" customWidth="1"/>
    <col min="5875" max="5875" width="2.6640625" style="21" customWidth="1"/>
    <col min="5876" max="5876" width="17.6640625" style="21" customWidth="1"/>
    <col min="5877" max="5877" width="3.1640625" style="21" customWidth="1"/>
    <col min="5878" max="5878" width="9.5" style="21" customWidth="1"/>
    <col min="5879" max="5879" width="10.5" style="21" customWidth="1"/>
    <col min="5880" max="5880" width="10.83203125" style="21" customWidth="1"/>
    <col min="5881" max="5882" width="8.83203125" style="21"/>
    <col min="5883" max="5883" width="23.5" style="21" customWidth="1"/>
    <col min="5884" max="5884" width="3.33203125" style="21" customWidth="1"/>
    <col min="5885" max="5885" width="9" style="21" customWidth="1"/>
    <col min="5886" max="5886" width="1" style="21" customWidth="1"/>
    <col min="5887" max="5887" width="9.33203125" style="21" customWidth="1"/>
    <col min="5888" max="5888" width="4.5" style="21" customWidth="1"/>
    <col min="5889" max="5889" width="13.83203125" style="21" customWidth="1"/>
    <col min="5890" max="6129" width="8.83203125" style="21"/>
    <col min="6130" max="6130" width="1.83203125" style="21" customWidth="1"/>
    <col min="6131" max="6131" width="2.6640625" style="21" customWidth="1"/>
    <col min="6132" max="6132" width="17.6640625" style="21" customWidth="1"/>
    <col min="6133" max="6133" width="3.1640625" style="21" customWidth="1"/>
    <col min="6134" max="6134" width="9.5" style="21" customWidth="1"/>
    <col min="6135" max="6135" width="10.5" style="21" customWidth="1"/>
    <col min="6136" max="6136" width="10.83203125" style="21" customWidth="1"/>
    <col min="6137" max="6138" width="8.83203125" style="21"/>
    <col min="6139" max="6139" width="23.5" style="21" customWidth="1"/>
    <col min="6140" max="6140" width="3.33203125" style="21" customWidth="1"/>
    <col min="6141" max="6141" width="9" style="21" customWidth="1"/>
    <col min="6142" max="6142" width="1" style="21" customWidth="1"/>
    <col min="6143" max="6143" width="9.33203125" style="21" customWidth="1"/>
    <col min="6144" max="6144" width="4.5" style="21" customWidth="1"/>
    <col min="6145" max="6145" width="13.83203125" style="21" customWidth="1"/>
    <col min="6146" max="6385" width="8.83203125" style="21"/>
    <col min="6386" max="6386" width="1.83203125" style="21" customWidth="1"/>
    <col min="6387" max="6387" width="2.6640625" style="21" customWidth="1"/>
    <col min="6388" max="6388" width="17.6640625" style="21" customWidth="1"/>
    <col min="6389" max="6389" width="3.1640625" style="21" customWidth="1"/>
    <col min="6390" max="6390" width="9.5" style="21" customWidth="1"/>
    <col min="6391" max="6391" width="10.5" style="21" customWidth="1"/>
    <col min="6392" max="6392" width="10.83203125" style="21" customWidth="1"/>
    <col min="6393" max="6394" width="8.83203125" style="21"/>
    <col min="6395" max="6395" width="23.5" style="21" customWidth="1"/>
    <col min="6396" max="6396" width="3.33203125" style="21" customWidth="1"/>
    <col min="6397" max="6397" width="9" style="21" customWidth="1"/>
    <col min="6398" max="6398" width="1" style="21" customWidth="1"/>
    <col min="6399" max="6399" width="9.33203125" style="21" customWidth="1"/>
    <col min="6400" max="6400" width="4.5" style="21" customWidth="1"/>
    <col min="6401" max="6401" width="13.83203125" style="21" customWidth="1"/>
    <col min="6402" max="6641" width="8.83203125" style="21"/>
    <col min="6642" max="6642" width="1.83203125" style="21" customWidth="1"/>
    <col min="6643" max="6643" width="2.6640625" style="21" customWidth="1"/>
    <col min="6644" max="6644" width="17.6640625" style="21" customWidth="1"/>
    <col min="6645" max="6645" width="3.1640625" style="21" customWidth="1"/>
    <col min="6646" max="6646" width="9.5" style="21" customWidth="1"/>
    <col min="6647" max="6647" width="10.5" style="21" customWidth="1"/>
    <col min="6648" max="6648" width="10.83203125" style="21" customWidth="1"/>
    <col min="6649" max="6650" width="8.83203125" style="21"/>
    <col min="6651" max="6651" width="23.5" style="21" customWidth="1"/>
    <col min="6652" max="6652" width="3.33203125" style="21" customWidth="1"/>
    <col min="6653" max="6653" width="9" style="21" customWidth="1"/>
    <col min="6654" max="6654" width="1" style="21" customWidth="1"/>
    <col min="6655" max="6655" width="9.33203125" style="21" customWidth="1"/>
    <col min="6656" max="6656" width="4.5" style="21" customWidth="1"/>
    <col min="6657" max="6657" width="13.83203125" style="21" customWidth="1"/>
    <col min="6658" max="6897" width="8.83203125" style="21"/>
    <col min="6898" max="6898" width="1.83203125" style="21" customWidth="1"/>
    <col min="6899" max="6899" width="2.6640625" style="21" customWidth="1"/>
    <col min="6900" max="6900" width="17.6640625" style="21" customWidth="1"/>
    <col min="6901" max="6901" width="3.1640625" style="21" customWidth="1"/>
    <col min="6902" max="6902" width="9.5" style="21" customWidth="1"/>
    <col min="6903" max="6903" width="10.5" style="21" customWidth="1"/>
    <col min="6904" max="6904" width="10.83203125" style="21" customWidth="1"/>
    <col min="6905" max="6906" width="8.83203125" style="21"/>
    <col min="6907" max="6907" width="23.5" style="21" customWidth="1"/>
    <col min="6908" max="6908" width="3.33203125" style="21" customWidth="1"/>
    <col min="6909" max="6909" width="9" style="21" customWidth="1"/>
    <col min="6910" max="6910" width="1" style="21" customWidth="1"/>
    <col min="6911" max="6911" width="9.33203125" style="21" customWidth="1"/>
    <col min="6912" max="6912" width="4.5" style="21" customWidth="1"/>
    <col min="6913" max="6913" width="13.83203125" style="21" customWidth="1"/>
    <col min="6914" max="7153" width="8.83203125" style="21"/>
    <col min="7154" max="7154" width="1.83203125" style="21" customWidth="1"/>
    <col min="7155" max="7155" width="2.6640625" style="21" customWidth="1"/>
    <col min="7156" max="7156" width="17.6640625" style="21" customWidth="1"/>
    <col min="7157" max="7157" width="3.1640625" style="21" customWidth="1"/>
    <col min="7158" max="7158" width="9.5" style="21" customWidth="1"/>
    <col min="7159" max="7159" width="10.5" style="21" customWidth="1"/>
    <col min="7160" max="7160" width="10.83203125" style="21" customWidth="1"/>
    <col min="7161" max="7162" width="8.83203125" style="21"/>
    <col min="7163" max="7163" width="23.5" style="21" customWidth="1"/>
    <col min="7164" max="7164" width="3.33203125" style="21" customWidth="1"/>
    <col min="7165" max="7165" width="9" style="21" customWidth="1"/>
    <col min="7166" max="7166" width="1" style="21" customWidth="1"/>
    <col min="7167" max="7167" width="9.33203125" style="21" customWidth="1"/>
    <col min="7168" max="7168" width="4.5" style="21" customWidth="1"/>
    <col min="7169" max="7169" width="13.83203125" style="21" customWidth="1"/>
    <col min="7170" max="7409" width="8.83203125" style="21"/>
    <col min="7410" max="7410" width="1.83203125" style="21" customWidth="1"/>
    <col min="7411" max="7411" width="2.6640625" style="21" customWidth="1"/>
    <col min="7412" max="7412" width="17.6640625" style="21" customWidth="1"/>
    <col min="7413" max="7413" width="3.1640625" style="21" customWidth="1"/>
    <col min="7414" max="7414" width="9.5" style="21" customWidth="1"/>
    <col min="7415" max="7415" width="10.5" style="21" customWidth="1"/>
    <col min="7416" max="7416" width="10.83203125" style="21" customWidth="1"/>
    <col min="7417" max="7418" width="8.83203125" style="21"/>
    <col min="7419" max="7419" width="23.5" style="21" customWidth="1"/>
    <col min="7420" max="7420" width="3.33203125" style="21" customWidth="1"/>
    <col min="7421" max="7421" width="9" style="21" customWidth="1"/>
    <col min="7422" max="7422" width="1" style="21" customWidth="1"/>
    <col min="7423" max="7423" width="9.33203125" style="21" customWidth="1"/>
    <col min="7424" max="7424" width="4.5" style="21" customWidth="1"/>
    <col min="7425" max="7425" width="13.83203125" style="21" customWidth="1"/>
    <col min="7426" max="7665" width="8.83203125" style="21"/>
    <col min="7666" max="7666" width="1.83203125" style="21" customWidth="1"/>
    <col min="7667" max="7667" width="2.6640625" style="21" customWidth="1"/>
    <col min="7668" max="7668" width="17.6640625" style="21" customWidth="1"/>
    <col min="7669" max="7669" width="3.1640625" style="21" customWidth="1"/>
    <col min="7670" max="7670" width="9.5" style="21" customWidth="1"/>
    <col min="7671" max="7671" width="10.5" style="21" customWidth="1"/>
    <col min="7672" max="7672" width="10.83203125" style="21" customWidth="1"/>
    <col min="7673" max="7674" width="8.83203125" style="21"/>
    <col min="7675" max="7675" width="23.5" style="21" customWidth="1"/>
    <col min="7676" max="7676" width="3.33203125" style="21" customWidth="1"/>
    <col min="7677" max="7677" width="9" style="21" customWidth="1"/>
    <col min="7678" max="7678" width="1" style="21" customWidth="1"/>
    <col min="7679" max="7679" width="9.33203125" style="21" customWidth="1"/>
    <col min="7680" max="7680" width="4.5" style="21" customWidth="1"/>
    <col min="7681" max="7681" width="13.83203125" style="21" customWidth="1"/>
    <col min="7682" max="7921" width="8.83203125" style="21"/>
    <col min="7922" max="7922" width="1.83203125" style="21" customWidth="1"/>
    <col min="7923" max="7923" width="2.6640625" style="21" customWidth="1"/>
    <col min="7924" max="7924" width="17.6640625" style="21" customWidth="1"/>
    <col min="7925" max="7925" width="3.1640625" style="21" customWidth="1"/>
    <col min="7926" max="7926" width="9.5" style="21" customWidth="1"/>
    <col min="7927" max="7927" width="10.5" style="21" customWidth="1"/>
    <col min="7928" max="7928" width="10.83203125" style="21" customWidth="1"/>
    <col min="7929" max="7930" width="8.83203125" style="21"/>
    <col min="7931" max="7931" width="23.5" style="21" customWidth="1"/>
    <col min="7932" max="7932" width="3.33203125" style="21" customWidth="1"/>
    <col min="7933" max="7933" width="9" style="21" customWidth="1"/>
    <col min="7934" max="7934" width="1" style="21" customWidth="1"/>
    <col min="7935" max="7935" width="9.33203125" style="21" customWidth="1"/>
    <col min="7936" max="7936" width="4.5" style="21" customWidth="1"/>
    <col min="7937" max="7937" width="13.83203125" style="21" customWidth="1"/>
    <col min="7938" max="8177" width="8.83203125" style="21"/>
    <col min="8178" max="8178" width="1.83203125" style="21" customWidth="1"/>
    <col min="8179" max="8179" width="2.6640625" style="21" customWidth="1"/>
    <col min="8180" max="8180" width="17.6640625" style="21" customWidth="1"/>
    <col min="8181" max="8181" width="3.1640625" style="21" customWidth="1"/>
    <col min="8182" max="8182" width="9.5" style="21" customWidth="1"/>
    <col min="8183" max="8183" width="10.5" style="21" customWidth="1"/>
    <col min="8184" max="8184" width="10.83203125" style="21" customWidth="1"/>
    <col min="8185" max="8186" width="8.83203125" style="21"/>
    <col min="8187" max="8187" width="23.5" style="21" customWidth="1"/>
    <col min="8188" max="8188" width="3.33203125" style="21" customWidth="1"/>
    <col min="8189" max="8189" width="9" style="21" customWidth="1"/>
    <col min="8190" max="8190" width="1" style="21" customWidth="1"/>
    <col min="8191" max="8191" width="9.33203125" style="21" customWidth="1"/>
    <col min="8192" max="8192" width="4.5" style="21" customWidth="1"/>
    <col min="8193" max="8193" width="13.83203125" style="21" customWidth="1"/>
    <col min="8194" max="8433" width="8.83203125" style="21"/>
    <col min="8434" max="8434" width="1.83203125" style="21" customWidth="1"/>
    <col min="8435" max="8435" width="2.6640625" style="21" customWidth="1"/>
    <col min="8436" max="8436" width="17.6640625" style="21" customWidth="1"/>
    <col min="8437" max="8437" width="3.1640625" style="21" customWidth="1"/>
    <col min="8438" max="8438" width="9.5" style="21" customWidth="1"/>
    <col min="8439" max="8439" width="10.5" style="21" customWidth="1"/>
    <col min="8440" max="8440" width="10.83203125" style="21" customWidth="1"/>
    <col min="8441" max="8442" width="8.83203125" style="21"/>
    <col min="8443" max="8443" width="23.5" style="21" customWidth="1"/>
    <col min="8444" max="8444" width="3.33203125" style="21" customWidth="1"/>
    <col min="8445" max="8445" width="9" style="21" customWidth="1"/>
    <col min="8446" max="8446" width="1" style="21" customWidth="1"/>
    <col min="8447" max="8447" width="9.33203125" style="21" customWidth="1"/>
    <col min="8448" max="8448" width="4.5" style="21" customWidth="1"/>
    <col min="8449" max="8449" width="13.83203125" style="21" customWidth="1"/>
    <col min="8450" max="8689" width="8.83203125" style="21"/>
    <col min="8690" max="8690" width="1.83203125" style="21" customWidth="1"/>
    <col min="8691" max="8691" width="2.6640625" style="21" customWidth="1"/>
    <col min="8692" max="8692" width="17.6640625" style="21" customWidth="1"/>
    <col min="8693" max="8693" width="3.1640625" style="21" customWidth="1"/>
    <col min="8694" max="8694" width="9.5" style="21" customWidth="1"/>
    <col min="8695" max="8695" width="10.5" style="21" customWidth="1"/>
    <col min="8696" max="8696" width="10.83203125" style="21" customWidth="1"/>
    <col min="8697" max="8698" width="8.83203125" style="21"/>
    <col min="8699" max="8699" width="23.5" style="21" customWidth="1"/>
    <col min="8700" max="8700" width="3.33203125" style="21" customWidth="1"/>
    <col min="8701" max="8701" width="9" style="21" customWidth="1"/>
    <col min="8702" max="8702" width="1" style="21" customWidth="1"/>
    <col min="8703" max="8703" width="9.33203125" style="21" customWidth="1"/>
    <col min="8704" max="8704" width="4.5" style="21" customWidth="1"/>
    <col min="8705" max="8705" width="13.83203125" style="21" customWidth="1"/>
    <col min="8706" max="8945" width="8.83203125" style="21"/>
    <col min="8946" max="8946" width="1.83203125" style="21" customWidth="1"/>
    <col min="8947" max="8947" width="2.6640625" style="21" customWidth="1"/>
    <col min="8948" max="8948" width="17.6640625" style="21" customWidth="1"/>
    <col min="8949" max="8949" width="3.1640625" style="21" customWidth="1"/>
    <col min="8950" max="8950" width="9.5" style="21" customWidth="1"/>
    <col min="8951" max="8951" width="10.5" style="21" customWidth="1"/>
    <col min="8952" max="8952" width="10.83203125" style="21" customWidth="1"/>
    <col min="8953" max="8954" width="8.83203125" style="21"/>
    <col min="8955" max="8955" width="23.5" style="21" customWidth="1"/>
    <col min="8956" max="8956" width="3.33203125" style="21" customWidth="1"/>
    <col min="8957" max="8957" width="9" style="21" customWidth="1"/>
    <col min="8958" max="8958" width="1" style="21" customWidth="1"/>
    <col min="8959" max="8959" width="9.33203125" style="21" customWidth="1"/>
    <col min="8960" max="8960" width="4.5" style="21" customWidth="1"/>
    <col min="8961" max="8961" width="13.83203125" style="21" customWidth="1"/>
    <col min="8962" max="9201" width="8.83203125" style="21"/>
    <col min="9202" max="9202" width="1.83203125" style="21" customWidth="1"/>
    <col min="9203" max="9203" width="2.6640625" style="21" customWidth="1"/>
    <col min="9204" max="9204" width="17.6640625" style="21" customWidth="1"/>
    <col min="9205" max="9205" width="3.1640625" style="21" customWidth="1"/>
    <col min="9206" max="9206" width="9.5" style="21" customWidth="1"/>
    <col min="9207" max="9207" width="10.5" style="21" customWidth="1"/>
    <col min="9208" max="9208" width="10.83203125" style="21" customWidth="1"/>
    <col min="9209" max="9210" width="8.83203125" style="21"/>
    <col min="9211" max="9211" width="23.5" style="21" customWidth="1"/>
    <col min="9212" max="9212" width="3.33203125" style="21" customWidth="1"/>
    <col min="9213" max="9213" width="9" style="21" customWidth="1"/>
    <col min="9214" max="9214" width="1" style="21" customWidth="1"/>
    <col min="9215" max="9215" width="9.33203125" style="21" customWidth="1"/>
    <col min="9216" max="9216" width="4.5" style="21" customWidth="1"/>
    <col min="9217" max="9217" width="13.83203125" style="21" customWidth="1"/>
    <col min="9218" max="9457" width="8.83203125" style="21"/>
    <col min="9458" max="9458" width="1.83203125" style="21" customWidth="1"/>
    <col min="9459" max="9459" width="2.6640625" style="21" customWidth="1"/>
    <col min="9460" max="9460" width="17.6640625" style="21" customWidth="1"/>
    <col min="9461" max="9461" width="3.1640625" style="21" customWidth="1"/>
    <col min="9462" max="9462" width="9.5" style="21" customWidth="1"/>
    <col min="9463" max="9463" width="10.5" style="21" customWidth="1"/>
    <col min="9464" max="9464" width="10.83203125" style="21" customWidth="1"/>
    <col min="9465" max="9466" width="8.83203125" style="21"/>
    <col min="9467" max="9467" width="23.5" style="21" customWidth="1"/>
    <col min="9468" max="9468" width="3.33203125" style="21" customWidth="1"/>
    <col min="9469" max="9469" width="9" style="21" customWidth="1"/>
    <col min="9470" max="9470" width="1" style="21" customWidth="1"/>
    <col min="9471" max="9471" width="9.33203125" style="21" customWidth="1"/>
    <col min="9472" max="9472" width="4.5" style="21" customWidth="1"/>
    <col min="9473" max="9473" width="13.83203125" style="21" customWidth="1"/>
    <col min="9474" max="9713" width="8.83203125" style="21"/>
    <col min="9714" max="9714" width="1.83203125" style="21" customWidth="1"/>
    <col min="9715" max="9715" width="2.6640625" style="21" customWidth="1"/>
    <col min="9716" max="9716" width="17.6640625" style="21" customWidth="1"/>
    <col min="9717" max="9717" width="3.1640625" style="21" customWidth="1"/>
    <col min="9718" max="9718" width="9.5" style="21" customWidth="1"/>
    <col min="9719" max="9719" width="10.5" style="21" customWidth="1"/>
    <col min="9720" max="9720" width="10.83203125" style="21" customWidth="1"/>
    <col min="9721" max="9722" width="8.83203125" style="21"/>
    <col min="9723" max="9723" width="23.5" style="21" customWidth="1"/>
    <col min="9724" max="9724" width="3.33203125" style="21" customWidth="1"/>
    <col min="9725" max="9725" width="9" style="21" customWidth="1"/>
    <col min="9726" max="9726" width="1" style="21" customWidth="1"/>
    <col min="9727" max="9727" width="9.33203125" style="21" customWidth="1"/>
    <col min="9728" max="9728" width="4.5" style="21" customWidth="1"/>
    <col min="9729" max="9729" width="13.83203125" style="21" customWidth="1"/>
    <col min="9730" max="9969" width="8.83203125" style="21"/>
    <col min="9970" max="9970" width="1.83203125" style="21" customWidth="1"/>
    <col min="9971" max="9971" width="2.6640625" style="21" customWidth="1"/>
    <col min="9972" max="9972" width="17.6640625" style="21" customWidth="1"/>
    <col min="9973" max="9973" width="3.1640625" style="21" customWidth="1"/>
    <col min="9974" max="9974" width="9.5" style="21" customWidth="1"/>
    <col min="9975" max="9975" width="10.5" style="21" customWidth="1"/>
    <col min="9976" max="9976" width="10.83203125" style="21" customWidth="1"/>
    <col min="9977" max="9978" width="8.83203125" style="21"/>
    <col min="9979" max="9979" width="23.5" style="21" customWidth="1"/>
    <col min="9980" max="9980" width="3.33203125" style="21" customWidth="1"/>
    <col min="9981" max="9981" width="9" style="21" customWidth="1"/>
    <col min="9982" max="9982" width="1" style="21" customWidth="1"/>
    <col min="9983" max="9983" width="9.33203125" style="21" customWidth="1"/>
    <col min="9984" max="9984" width="4.5" style="21" customWidth="1"/>
    <col min="9985" max="9985" width="13.83203125" style="21" customWidth="1"/>
    <col min="9986" max="10225" width="8.83203125" style="21"/>
    <col min="10226" max="10226" width="1.83203125" style="21" customWidth="1"/>
    <col min="10227" max="10227" width="2.6640625" style="21" customWidth="1"/>
    <col min="10228" max="10228" width="17.6640625" style="21" customWidth="1"/>
    <col min="10229" max="10229" width="3.1640625" style="21" customWidth="1"/>
    <col min="10230" max="10230" width="9.5" style="21" customWidth="1"/>
    <col min="10231" max="10231" width="10.5" style="21" customWidth="1"/>
    <col min="10232" max="10232" width="10.83203125" style="21" customWidth="1"/>
    <col min="10233" max="10234" width="8.83203125" style="21"/>
    <col min="10235" max="10235" width="23.5" style="21" customWidth="1"/>
    <col min="10236" max="10236" width="3.33203125" style="21" customWidth="1"/>
    <col min="10237" max="10237" width="9" style="21" customWidth="1"/>
    <col min="10238" max="10238" width="1" style="21" customWidth="1"/>
    <col min="10239" max="10239" width="9.33203125" style="21" customWidth="1"/>
    <col min="10240" max="10240" width="4.5" style="21" customWidth="1"/>
    <col min="10241" max="10241" width="13.83203125" style="21" customWidth="1"/>
    <col min="10242" max="10481" width="8.83203125" style="21"/>
    <col min="10482" max="10482" width="1.83203125" style="21" customWidth="1"/>
    <col min="10483" max="10483" width="2.6640625" style="21" customWidth="1"/>
    <col min="10484" max="10484" width="17.6640625" style="21" customWidth="1"/>
    <col min="10485" max="10485" width="3.1640625" style="21" customWidth="1"/>
    <col min="10486" max="10486" width="9.5" style="21" customWidth="1"/>
    <col min="10487" max="10487" width="10.5" style="21" customWidth="1"/>
    <col min="10488" max="10488" width="10.83203125" style="21" customWidth="1"/>
    <col min="10489" max="10490" width="8.83203125" style="21"/>
    <col min="10491" max="10491" width="23.5" style="21" customWidth="1"/>
    <col min="10492" max="10492" width="3.33203125" style="21" customWidth="1"/>
    <col min="10493" max="10493" width="9" style="21" customWidth="1"/>
    <col min="10494" max="10494" width="1" style="21" customWidth="1"/>
    <col min="10495" max="10495" width="9.33203125" style="21" customWidth="1"/>
    <col min="10496" max="10496" width="4.5" style="21" customWidth="1"/>
    <col min="10497" max="10497" width="13.83203125" style="21" customWidth="1"/>
    <col min="10498" max="10737" width="8.83203125" style="21"/>
    <col min="10738" max="10738" width="1.83203125" style="21" customWidth="1"/>
    <col min="10739" max="10739" width="2.6640625" style="21" customWidth="1"/>
    <col min="10740" max="10740" width="17.6640625" style="21" customWidth="1"/>
    <col min="10741" max="10741" width="3.1640625" style="21" customWidth="1"/>
    <col min="10742" max="10742" width="9.5" style="21" customWidth="1"/>
    <col min="10743" max="10743" width="10.5" style="21" customWidth="1"/>
    <col min="10744" max="10744" width="10.83203125" style="21" customWidth="1"/>
    <col min="10745" max="10746" width="8.83203125" style="21"/>
    <col min="10747" max="10747" width="23.5" style="21" customWidth="1"/>
    <col min="10748" max="10748" width="3.33203125" style="21" customWidth="1"/>
    <col min="10749" max="10749" width="9" style="21" customWidth="1"/>
    <col min="10750" max="10750" width="1" style="21" customWidth="1"/>
    <col min="10751" max="10751" width="9.33203125" style="21" customWidth="1"/>
    <col min="10752" max="10752" width="4.5" style="21" customWidth="1"/>
    <col min="10753" max="10753" width="13.83203125" style="21" customWidth="1"/>
    <col min="10754" max="10993" width="8.83203125" style="21"/>
    <col min="10994" max="10994" width="1.83203125" style="21" customWidth="1"/>
    <col min="10995" max="10995" width="2.6640625" style="21" customWidth="1"/>
    <col min="10996" max="10996" width="17.6640625" style="21" customWidth="1"/>
    <col min="10997" max="10997" width="3.1640625" style="21" customWidth="1"/>
    <col min="10998" max="10998" width="9.5" style="21" customWidth="1"/>
    <col min="10999" max="10999" width="10.5" style="21" customWidth="1"/>
    <col min="11000" max="11000" width="10.83203125" style="21" customWidth="1"/>
    <col min="11001" max="11002" width="8.83203125" style="21"/>
    <col min="11003" max="11003" width="23.5" style="21" customWidth="1"/>
    <col min="11004" max="11004" width="3.33203125" style="21" customWidth="1"/>
    <col min="11005" max="11005" width="9" style="21" customWidth="1"/>
    <col min="11006" max="11006" width="1" style="21" customWidth="1"/>
    <col min="11007" max="11007" width="9.33203125" style="21" customWidth="1"/>
    <col min="11008" max="11008" width="4.5" style="21" customWidth="1"/>
    <col min="11009" max="11009" width="13.83203125" style="21" customWidth="1"/>
    <col min="11010" max="11249" width="8.83203125" style="21"/>
    <col min="11250" max="11250" width="1.83203125" style="21" customWidth="1"/>
    <col min="11251" max="11251" width="2.6640625" style="21" customWidth="1"/>
    <col min="11252" max="11252" width="17.6640625" style="21" customWidth="1"/>
    <col min="11253" max="11253" width="3.1640625" style="21" customWidth="1"/>
    <col min="11254" max="11254" width="9.5" style="21" customWidth="1"/>
    <col min="11255" max="11255" width="10.5" style="21" customWidth="1"/>
    <col min="11256" max="11256" width="10.83203125" style="21" customWidth="1"/>
    <col min="11257" max="11258" width="8.83203125" style="21"/>
    <col min="11259" max="11259" width="23.5" style="21" customWidth="1"/>
    <col min="11260" max="11260" width="3.33203125" style="21" customWidth="1"/>
    <col min="11261" max="11261" width="9" style="21" customWidth="1"/>
    <col min="11262" max="11262" width="1" style="21" customWidth="1"/>
    <col min="11263" max="11263" width="9.33203125" style="21" customWidth="1"/>
    <col min="11264" max="11264" width="4.5" style="21" customWidth="1"/>
    <col min="11265" max="11265" width="13.83203125" style="21" customWidth="1"/>
    <col min="11266" max="11505" width="8.83203125" style="21"/>
    <col min="11506" max="11506" width="1.83203125" style="21" customWidth="1"/>
    <col min="11507" max="11507" width="2.6640625" style="21" customWidth="1"/>
    <col min="11508" max="11508" width="17.6640625" style="21" customWidth="1"/>
    <col min="11509" max="11509" width="3.1640625" style="21" customWidth="1"/>
    <col min="11510" max="11510" width="9.5" style="21" customWidth="1"/>
    <col min="11511" max="11511" width="10.5" style="21" customWidth="1"/>
    <col min="11512" max="11512" width="10.83203125" style="21" customWidth="1"/>
    <col min="11513" max="11514" width="8.83203125" style="21"/>
    <col min="11515" max="11515" width="23.5" style="21" customWidth="1"/>
    <col min="11516" max="11516" width="3.33203125" style="21" customWidth="1"/>
    <col min="11517" max="11517" width="9" style="21" customWidth="1"/>
    <col min="11518" max="11518" width="1" style="21" customWidth="1"/>
    <col min="11519" max="11519" width="9.33203125" style="21" customWidth="1"/>
    <col min="11520" max="11520" width="4.5" style="21" customWidth="1"/>
    <col min="11521" max="11521" width="13.83203125" style="21" customWidth="1"/>
    <col min="11522" max="11761" width="8.83203125" style="21"/>
    <col min="11762" max="11762" width="1.83203125" style="21" customWidth="1"/>
    <col min="11763" max="11763" width="2.6640625" style="21" customWidth="1"/>
    <col min="11764" max="11764" width="17.6640625" style="21" customWidth="1"/>
    <col min="11765" max="11765" width="3.1640625" style="21" customWidth="1"/>
    <col min="11766" max="11766" width="9.5" style="21" customWidth="1"/>
    <col min="11767" max="11767" width="10.5" style="21" customWidth="1"/>
    <col min="11768" max="11768" width="10.83203125" style="21" customWidth="1"/>
    <col min="11769" max="11770" width="8.83203125" style="21"/>
    <col min="11771" max="11771" width="23.5" style="21" customWidth="1"/>
    <col min="11772" max="11772" width="3.33203125" style="21" customWidth="1"/>
    <col min="11773" max="11773" width="9" style="21" customWidth="1"/>
    <col min="11774" max="11774" width="1" style="21" customWidth="1"/>
    <col min="11775" max="11775" width="9.33203125" style="21" customWidth="1"/>
    <col min="11776" max="11776" width="4.5" style="21" customWidth="1"/>
    <col min="11777" max="11777" width="13.83203125" style="21" customWidth="1"/>
    <col min="11778" max="12017" width="8.83203125" style="21"/>
    <col min="12018" max="12018" width="1.83203125" style="21" customWidth="1"/>
    <col min="12019" max="12019" width="2.6640625" style="21" customWidth="1"/>
    <col min="12020" max="12020" width="17.6640625" style="21" customWidth="1"/>
    <col min="12021" max="12021" width="3.1640625" style="21" customWidth="1"/>
    <col min="12022" max="12022" width="9.5" style="21" customWidth="1"/>
    <col min="12023" max="12023" width="10.5" style="21" customWidth="1"/>
    <col min="12024" max="12024" width="10.83203125" style="21" customWidth="1"/>
    <col min="12025" max="12026" width="8.83203125" style="21"/>
    <col min="12027" max="12027" width="23.5" style="21" customWidth="1"/>
    <col min="12028" max="12028" width="3.33203125" style="21" customWidth="1"/>
    <col min="12029" max="12029" width="9" style="21" customWidth="1"/>
    <col min="12030" max="12030" width="1" style="21" customWidth="1"/>
    <col min="12031" max="12031" width="9.33203125" style="21" customWidth="1"/>
    <col min="12032" max="12032" width="4.5" style="21" customWidth="1"/>
    <col min="12033" max="12033" width="13.83203125" style="21" customWidth="1"/>
    <col min="12034" max="12273" width="8.83203125" style="21"/>
    <col min="12274" max="12274" width="1.83203125" style="21" customWidth="1"/>
    <col min="12275" max="12275" width="2.6640625" style="21" customWidth="1"/>
    <col min="12276" max="12276" width="17.6640625" style="21" customWidth="1"/>
    <col min="12277" max="12277" width="3.1640625" style="21" customWidth="1"/>
    <col min="12278" max="12278" width="9.5" style="21" customWidth="1"/>
    <col min="12279" max="12279" width="10.5" style="21" customWidth="1"/>
    <col min="12280" max="12280" width="10.83203125" style="21" customWidth="1"/>
    <col min="12281" max="12282" width="8.83203125" style="21"/>
    <col min="12283" max="12283" width="23.5" style="21" customWidth="1"/>
    <col min="12284" max="12284" width="3.33203125" style="21" customWidth="1"/>
    <col min="12285" max="12285" width="9" style="21" customWidth="1"/>
    <col min="12286" max="12286" width="1" style="21" customWidth="1"/>
    <col min="12287" max="12287" width="9.33203125" style="21" customWidth="1"/>
    <col min="12288" max="12288" width="4.5" style="21" customWidth="1"/>
    <col min="12289" max="12289" width="13.83203125" style="21" customWidth="1"/>
    <col min="12290" max="12529" width="8.83203125" style="21"/>
    <col min="12530" max="12530" width="1.83203125" style="21" customWidth="1"/>
    <col min="12531" max="12531" width="2.6640625" style="21" customWidth="1"/>
    <col min="12532" max="12532" width="17.6640625" style="21" customWidth="1"/>
    <col min="12533" max="12533" width="3.1640625" style="21" customWidth="1"/>
    <col min="12534" max="12534" width="9.5" style="21" customWidth="1"/>
    <col min="12535" max="12535" width="10.5" style="21" customWidth="1"/>
    <col min="12536" max="12536" width="10.83203125" style="21" customWidth="1"/>
    <col min="12537" max="12538" width="8.83203125" style="21"/>
    <col min="12539" max="12539" width="23.5" style="21" customWidth="1"/>
    <col min="12540" max="12540" width="3.33203125" style="21" customWidth="1"/>
    <col min="12541" max="12541" width="9" style="21" customWidth="1"/>
    <col min="12542" max="12542" width="1" style="21" customWidth="1"/>
    <col min="12543" max="12543" width="9.33203125" style="21" customWidth="1"/>
    <col min="12544" max="12544" width="4.5" style="21" customWidth="1"/>
    <col min="12545" max="12545" width="13.83203125" style="21" customWidth="1"/>
    <col min="12546" max="12785" width="8.83203125" style="21"/>
    <col min="12786" max="12786" width="1.83203125" style="21" customWidth="1"/>
    <col min="12787" max="12787" width="2.6640625" style="21" customWidth="1"/>
    <col min="12788" max="12788" width="17.6640625" style="21" customWidth="1"/>
    <col min="12789" max="12789" width="3.1640625" style="21" customWidth="1"/>
    <col min="12790" max="12790" width="9.5" style="21" customWidth="1"/>
    <col min="12791" max="12791" width="10.5" style="21" customWidth="1"/>
    <col min="12792" max="12792" width="10.83203125" style="21" customWidth="1"/>
    <col min="12793" max="12794" width="8.83203125" style="21"/>
    <col min="12795" max="12795" width="23.5" style="21" customWidth="1"/>
    <col min="12796" max="12796" width="3.33203125" style="21" customWidth="1"/>
    <col min="12797" max="12797" width="9" style="21" customWidth="1"/>
    <col min="12798" max="12798" width="1" style="21" customWidth="1"/>
    <col min="12799" max="12799" width="9.33203125" style="21" customWidth="1"/>
    <col min="12800" max="12800" width="4.5" style="21" customWidth="1"/>
    <col min="12801" max="12801" width="13.83203125" style="21" customWidth="1"/>
    <col min="12802" max="13041" width="8.83203125" style="21"/>
    <col min="13042" max="13042" width="1.83203125" style="21" customWidth="1"/>
    <col min="13043" max="13043" width="2.6640625" style="21" customWidth="1"/>
    <col min="13044" max="13044" width="17.6640625" style="21" customWidth="1"/>
    <col min="13045" max="13045" width="3.1640625" style="21" customWidth="1"/>
    <col min="13046" max="13046" width="9.5" style="21" customWidth="1"/>
    <col min="13047" max="13047" width="10.5" style="21" customWidth="1"/>
    <col min="13048" max="13048" width="10.83203125" style="21" customWidth="1"/>
    <col min="13049" max="13050" width="8.83203125" style="21"/>
    <col min="13051" max="13051" width="23.5" style="21" customWidth="1"/>
    <col min="13052" max="13052" width="3.33203125" style="21" customWidth="1"/>
    <col min="13053" max="13053" width="9" style="21" customWidth="1"/>
    <col min="13054" max="13054" width="1" style="21" customWidth="1"/>
    <col min="13055" max="13055" width="9.33203125" style="21" customWidth="1"/>
    <col min="13056" max="13056" width="4.5" style="21" customWidth="1"/>
    <col min="13057" max="13057" width="13.83203125" style="21" customWidth="1"/>
    <col min="13058" max="13297" width="8.83203125" style="21"/>
    <col min="13298" max="13298" width="1.83203125" style="21" customWidth="1"/>
    <col min="13299" max="13299" width="2.6640625" style="21" customWidth="1"/>
    <col min="13300" max="13300" width="17.6640625" style="21" customWidth="1"/>
    <col min="13301" max="13301" width="3.1640625" style="21" customWidth="1"/>
    <col min="13302" max="13302" width="9.5" style="21" customWidth="1"/>
    <col min="13303" max="13303" width="10.5" style="21" customWidth="1"/>
    <col min="13304" max="13304" width="10.83203125" style="21" customWidth="1"/>
    <col min="13305" max="13306" width="8.83203125" style="21"/>
    <col min="13307" max="13307" width="23.5" style="21" customWidth="1"/>
    <col min="13308" max="13308" width="3.33203125" style="21" customWidth="1"/>
    <col min="13309" max="13309" width="9" style="21" customWidth="1"/>
    <col min="13310" max="13310" width="1" style="21" customWidth="1"/>
    <col min="13311" max="13311" width="9.33203125" style="21" customWidth="1"/>
    <col min="13312" max="13312" width="4.5" style="21" customWidth="1"/>
    <col min="13313" max="13313" width="13.83203125" style="21" customWidth="1"/>
    <col min="13314" max="13553" width="8.83203125" style="21"/>
    <col min="13554" max="13554" width="1.83203125" style="21" customWidth="1"/>
    <col min="13555" max="13555" width="2.6640625" style="21" customWidth="1"/>
    <col min="13556" max="13556" width="17.6640625" style="21" customWidth="1"/>
    <col min="13557" max="13557" width="3.1640625" style="21" customWidth="1"/>
    <col min="13558" max="13558" width="9.5" style="21" customWidth="1"/>
    <col min="13559" max="13559" width="10.5" style="21" customWidth="1"/>
    <col min="13560" max="13560" width="10.83203125" style="21" customWidth="1"/>
    <col min="13561" max="13562" width="8.83203125" style="21"/>
    <col min="13563" max="13563" width="23.5" style="21" customWidth="1"/>
    <col min="13564" max="13564" width="3.33203125" style="21" customWidth="1"/>
    <col min="13565" max="13565" width="9" style="21" customWidth="1"/>
    <col min="13566" max="13566" width="1" style="21" customWidth="1"/>
    <col min="13567" max="13567" width="9.33203125" style="21" customWidth="1"/>
    <col min="13568" max="13568" width="4.5" style="21" customWidth="1"/>
    <col min="13569" max="13569" width="13.83203125" style="21" customWidth="1"/>
    <col min="13570" max="13809" width="8.83203125" style="21"/>
    <col min="13810" max="13810" width="1.83203125" style="21" customWidth="1"/>
    <col min="13811" max="13811" width="2.6640625" style="21" customWidth="1"/>
    <col min="13812" max="13812" width="17.6640625" style="21" customWidth="1"/>
    <col min="13813" max="13813" width="3.1640625" style="21" customWidth="1"/>
    <col min="13814" max="13814" width="9.5" style="21" customWidth="1"/>
    <col min="13815" max="13815" width="10.5" style="21" customWidth="1"/>
    <col min="13816" max="13816" width="10.83203125" style="21" customWidth="1"/>
    <col min="13817" max="13818" width="8.83203125" style="21"/>
    <col min="13819" max="13819" width="23.5" style="21" customWidth="1"/>
    <col min="13820" max="13820" width="3.33203125" style="21" customWidth="1"/>
    <col min="13821" max="13821" width="9" style="21" customWidth="1"/>
    <col min="13822" max="13822" width="1" style="21" customWidth="1"/>
    <col min="13823" max="13823" width="9.33203125" style="21" customWidth="1"/>
    <col min="13824" max="13824" width="4.5" style="21" customWidth="1"/>
    <col min="13825" max="13825" width="13.83203125" style="21" customWidth="1"/>
    <col min="13826" max="14065" width="8.83203125" style="21"/>
    <col min="14066" max="14066" width="1.83203125" style="21" customWidth="1"/>
    <col min="14067" max="14067" width="2.6640625" style="21" customWidth="1"/>
    <col min="14068" max="14068" width="17.6640625" style="21" customWidth="1"/>
    <col min="14069" max="14069" width="3.1640625" style="21" customWidth="1"/>
    <col min="14070" max="14070" width="9.5" style="21" customWidth="1"/>
    <col min="14071" max="14071" width="10.5" style="21" customWidth="1"/>
    <col min="14072" max="14072" width="10.83203125" style="21" customWidth="1"/>
    <col min="14073" max="14074" width="8.83203125" style="21"/>
    <col min="14075" max="14075" width="23.5" style="21" customWidth="1"/>
    <col min="14076" max="14076" width="3.33203125" style="21" customWidth="1"/>
    <col min="14077" max="14077" width="9" style="21" customWidth="1"/>
    <col min="14078" max="14078" width="1" style="21" customWidth="1"/>
    <col min="14079" max="14079" width="9.33203125" style="21" customWidth="1"/>
    <col min="14080" max="14080" width="4.5" style="21" customWidth="1"/>
    <col min="14081" max="14081" width="13.83203125" style="21" customWidth="1"/>
    <col min="14082" max="14321" width="8.83203125" style="21"/>
    <col min="14322" max="14322" width="1.83203125" style="21" customWidth="1"/>
    <col min="14323" max="14323" width="2.6640625" style="21" customWidth="1"/>
    <col min="14324" max="14324" width="17.6640625" style="21" customWidth="1"/>
    <col min="14325" max="14325" width="3.1640625" style="21" customWidth="1"/>
    <col min="14326" max="14326" width="9.5" style="21" customWidth="1"/>
    <col min="14327" max="14327" width="10.5" style="21" customWidth="1"/>
    <col min="14328" max="14328" width="10.83203125" style="21" customWidth="1"/>
    <col min="14329" max="14330" width="8.83203125" style="21"/>
    <col min="14331" max="14331" width="23.5" style="21" customWidth="1"/>
    <col min="14332" max="14332" width="3.33203125" style="21" customWidth="1"/>
    <col min="14333" max="14333" width="9" style="21" customWidth="1"/>
    <col min="14334" max="14334" width="1" style="21" customWidth="1"/>
    <col min="14335" max="14335" width="9.33203125" style="21" customWidth="1"/>
    <col min="14336" max="14336" width="4.5" style="21" customWidth="1"/>
    <col min="14337" max="14337" width="13.83203125" style="21" customWidth="1"/>
    <col min="14338" max="14577" width="8.83203125" style="21"/>
    <col min="14578" max="14578" width="1.83203125" style="21" customWidth="1"/>
    <col min="14579" max="14579" width="2.6640625" style="21" customWidth="1"/>
    <col min="14580" max="14580" width="17.6640625" style="21" customWidth="1"/>
    <col min="14581" max="14581" width="3.1640625" style="21" customWidth="1"/>
    <col min="14582" max="14582" width="9.5" style="21" customWidth="1"/>
    <col min="14583" max="14583" width="10.5" style="21" customWidth="1"/>
    <col min="14584" max="14584" width="10.83203125" style="21" customWidth="1"/>
    <col min="14585" max="14586" width="8.83203125" style="21"/>
    <col min="14587" max="14587" width="23.5" style="21" customWidth="1"/>
    <col min="14588" max="14588" width="3.33203125" style="21" customWidth="1"/>
    <col min="14589" max="14589" width="9" style="21" customWidth="1"/>
    <col min="14590" max="14590" width="1" style="21" customWidth="1"/>
    <col min="14591" max="14591" width="9.33203125" style="21" customWidth="1"/>
    <col min="14592" max="14592" width="4.5" style="21" customWidth="1"/>
    <col min="14593" max="14593" width="13.83203125" style="21" customWidth="1"/>
    <col min="14594" max="14833" width="8.83203125" style="21"/>
    <col min="14834" max="14834" width="1.83203125" style="21" customWidth="1"/>
    <col min="14835" max="14835" width="2.6640625" style="21" customWidth="1"/>
    <col min="14836" max="14836" width="17.6640625" style="21" customWidth="1"/>
    <col min="14837" max="14837" width="3.1640625" style="21" customWidth="1"/>
    <col min="14838" max="14838" width="9.5" style="21" customWidth="1"/>
    <col min="14839" max="14839" width="10.5" style="21" customWidth="1"/>
    <col min="14840" max="14840" width="10.83203125" style="21" customWidth="1"/>
    <col min="14841" max="14842" width="8.83203125" style="21"/>
    <col min="14843" max="14843" width="23.5" style="21" customWidth="1"/>
    <col min="14844" max="14844" width="3.33203125" style="21" customWidth="1"/>
    <col min="14845" max="14845" width="9" style="21" customWidth="1"/>
    <col min="14846" max="14846" width="1" style="21" customWidth="1"/>
    <col min="14847" max="14847" width="9.33203125" style="21" customWidth="1"/>
    <col min="14848" max="14848" width="4.5" style="21" customWidth="1"/>
    <col min="14849" max="14849" width="13.83203125" style="21" customWidth="1"/>
    <col min="14850" max="15089" width="8.83203125" style="21"/>
    <col min="15090" max="15090" width="1.83203125" style="21" customWidth="1"/>
    <col min="15091" max="15091" width="2.6640625" style="21" customWidth="1"/>
    <col min="15092" max="15092" width="17.6640625" style="21" customWidth="1"/>
    <col min="15093" max="15093" width="3.1640625" style="21" customWidth="1"/>
    <col min="15094" max="15094" width="9.5" style="21" customWidth="1"/>
    <col min="15095" max="15095" width="10.5" style="21" customWidth="1"/>
    <col min="15096" max="15096" width="10.83203125" style="21" customWidth="1"/>
    <col min="15097" max="15098" width="8.83203125" style="21"/>
    <col min="15099" max="15099" width="23.5" style="21" customWidth="1"/>
    <col min="15100" max="15100" width="3.33203125" style="21" customWidth="1"/>
    <col min="15101" max="15101" width="9" style="21" customWidth="1"/>
    <col min="15102" max="15102" width="1" style="21" customWidth="1"/>
    <col min="15103" max="15103" width="9.33203125" style="21" customWidth="1"/>
    <col min="15104" max="15104" width="4.5" style="21" customWidth="1"/>
    <col min="15105" max="15105" width="13.83203125" style="21" customWidth="1"/>
    <col min="15106" max="15345" width="8.83203125" style="21"/>
    <col min="15346" max="15346" width="1.83203125" style="21" customWidth="1"/>
    <col min="15347" max="15347" width="2.6640625" style="21" customWidth="1"/>
    <col min="15348" max="15348" width="17.6640625" style="21" customWidth="1"/>
    <col min="15349" max="15349" width="3.1640625" style="21" customWidth="1"/>
    <col min="15350" max="15350" width="9.5" style="21" customWidth="1"/>
    <col min="15351" max="15351" width="10.5" style="21" customWidth="1"/>
    <col min="15352" max="15352" width="10.83203125" style="21" customWidth="1"/>
    <col min="15353" max="15354" width="8.83203125" style="21"/>
    <col min="15355" max="15355" width="23.5" style="21" customWidth="1"/>
    <col min="15356" max="15356" width="3.33203125" style="21" customWidth="1"/>
    <col min="15357" max="15357" width="9" style="21" customWidth="1"/>
    <col min="15358" max="15358" width="1" style="21" customWidth="1"/>
    <col min="15359" max="15359" width="9.33203125" style="21" customWidth="1"/>
    <col min="15360" max="15360" width="4.5" style="21" customWidth="1"/>
    <col min="15361" max="15361" width="13.83203125" style="21" customWidth="1"/>
    <col min="15362" max="15601" width="8.83203125" style="21"/>
    <col min="15602" max="15602" width="1.83203125" style="21" customWidth="1"/>
    <col min="15603" max="15603" width="2.6640625" style="21" customWidth="1"/>
    <col min="15604" max="15604" width="17.6640625" style="21" customWidth="1"/>
    <col min="15605" max="15605" width="3.1640625" style="21" customWidth="1"/>
    <col min="15606" max="15606" width="9.5" style="21" customWidth="1"/>
    <col min="15607" max="15607" width="10.5" style="21" customWidth="1"/>
    <col min="15608" max="15608" width="10.83203125" style="21" customWidth="1"/>
    <col min="15609" max="15610" width="8.83203125" style="21"/>
    <col min="15611" max="15611" width="23.5" style="21" customWidth="1"/>
    <col min="15612" max="15612" width="3.33203125" style="21" customWidth="1"/>
    <col min="15613" max="15613" width="9" style="21" customWidth="1"/>
    <col min="15614" max="15614" width="1" style="21" customWidth="1"/>
    <col min="15615" max="15615" width="9.33203125" style="21" customWidth="1"/>
    <col min="15616" max="15616" width="4.5" style="21" customWidth="1"/>
    <col min="15617" max="15617" width="13.83203125" style="21" customWidth="1"/>
    <col min="15618" max="15857" width="8.83203125" style="21"/>
    <col min="15858" max="15858" width="1.83203125" style="21" customWidth="1"/>
    <col min="15859" max="15859" width="2.6640625" style="21" customWidth="1"/>
    <col min="15860" max="15860" width="17.6640625" style="21" customWidth="1"/>
    <col min="15861" max="15861" width="3.1640625" style="21" customWidth="1"/>
    <col min="15862" max="15862" width="9.5" style="21" customWidth="1"/>
    <col min="15863" max="15863" width="10.5" style="21" customWidth="1"/>
    <col min="15864" max="15864" width="10.83203125" style="21" customWidth="1"/>
    <col min="15865" max="15866" width="8.83203125" style="21"/>
    <col min="15867" max="15867" width="23.5" style="21" customWidth="1"/>
    <col min="15868" max="15868" width="3.33203125" style="21" customWidth="1"/>
    <col min="15869" max="15869" width="9" style="21" customWidth="1"/>
    <col min="15870" max="15870" width="1" style="21" customWidth="1"/>
    <col min="15871" max="15871" width="9.33203125" style="21" customWidth="1"/>
    <col min="15872" max="15872" width="4.5" style="21" customWidth="1"/>
    <col min="15873" max="15873" width="13.83203125" style="21" customWidth="1"/>
    <col min="15874" max="16113" width="8.83203125" style="21"/>
    <col min="16114" max="16114" width="1.83203125" style="21" customWidth="1"/>
    <col min="16115" max="16115" width="2.6640625" style="21" customWidth="1"/>
    <col min="16116" max="16116" width="17.6640625" style="21" customWidth="1"/>
    <col min="16117" max="16117" width="3.1640625" style="21" customWidth="1"/>
    <col min="16118" max="16118" width="9.5" style="21" customWidth="1"/>
    <col min="16119" max="16119" width="10.5" style="21" customWidth="1"/>
    <col min="16120" max="16120" width="10.83203125" style="21" customWidth="1"/>
    <col min="16121" max="16122" width="8.83203125" style="21"/>
    <col min="16123" max="16123" width="23.5" style="21" customWidth="1"/>
    <col min="16124" max="16124" width="3.33203125" style="21" customWidth="1"/>
    <col min="16125" max="16125" width="9" style="21" customWidth="1"/>
    <col min="16126" max="16126" width="1" style="21" customWidth="1"/>
    <col min="16127" max="16127" width="9.33203125" style="21" customWidth="1"/>
    <col min="16128" max="16128" width="4.5" style="21" customWidth="1"/>
    <col min="16129" max="16129" width="13.83203125" style="21" customWidth="1"/>
    <col min="16130" max="16384" width="8.83203125" style="21"/>
  </cols>
  <sheetData>
    <row r="1" spans="1:8">
      <c r="A1" s="1"/>
    </row>
    <row r="2" spans="1:8" ht="14.25" customHeight="1">
      <c r="B2" s="244" t="s">
        <v>185</v>
      </c>
      <c r="C2" s="245"/>
      <c r="D2" s="245"/>
      <c r="E2" s="245"/>
      <c r="F2" s="245"/>
    </row>
    <row r="3" spans="1:8" ht="29.25" customHeight="1">
      <c r="B3" s="45"/>
      <c r="C3" s="45"/>
      <c r="D3" s="46" t="s">
        <v>146</v>
      </c>
      <c r="E3" s="46" t="s">
        <v>212</v>
      </c>
      <c r="F3" s="24" t="s">
        <v>0</v>
      </c>
      <c r="H3" s="47" t="s">
        <v>183</v>
      </c>
    </row>
    <row r="4" spans="1:8">
      <c r="B4" s="243" t="s">
        <v>1</v>
      </c>
      <c r="C4" s="241"/>
      <c r="D4" s="48"/>
      <c r="E4" s="49"/>
      <c r="F4" s="50"/>
    </row>
    <row r="5" spans="1:8">
      <c r="B5" s="20"/>
      <c r="C5" s="51" t="s">
        <v>14</v>
      </c>
      <c r="D5" s="52">
        <v>660</v>
      </c>
      <c r="E5" s="53">
        <v>600</v>
      </c>
      <c r="F5" s="54" t="s">
        <v>12</v>
      </c>
      <c r="H5" s="29"/>
    </row>
    <row r="6" spans="1:8">
      <c r="B6" s="20"/>
      <c r="C6" s="51" t="s">
        <v>2</v>
      </c>
      <c r="D6" s="52">
        <v>540</v>
      </c>
      <c r="E6" s="53">
        <v>750</v>
      </c>
      <c r="F6" s="54" t="s">
        <v>13</v>
      </c>
      <c r="H6" s="29"/>
    </row>
    <row r="7" spans="1:8">
      <c r="B7" s="20"/>
      <c r="C7" s="55" t="s">
        <v>19</v>
      </c>
      <c r="D7" s="52">
        <v>15</v>
      </c>
      <c r="E7" s="53">
        <v>15</v>
      </c>
      <c r="F7" s="54" t="s">
        <v>20</v>
      </c>
      <c r="H7" s="29"/>
    </row>
    <row r="8" spans="1:8">
      <c r="B8" s="20"/>
      <c r="C8" s="55" t="s">
        <v>18</v>
      </c>
      <c r="D8" s="52">
        <v>80</v>
      </c>
      <c r="E8" s="53">
        <v>80</v>
      </c>
      <c r="F8" s="54" t="s">
        <v>21</v>
      </c>
      <c r="H8" s="29"/>
    </row>
    <row r="9" spans="1:8">
      <c r="B9" s="20"/>
      <c r="C9" s="55" t="s">
        <v>3</v>
      </c>
      <c r="D9" s="52">
        <v>50</v>
      </c>
      <c r="E9" s="53">
        <v>50</v>
      </c>
      <c r="F9" s="54" t="s">
        <v>36</v>
      </c>
      <c r="H9" s="29"/>
    </row>
    <row r="10" spans="1:8">
      <c r="B10" s="20"/>
      <c r="C10" s="51" t="s">
        <v>15</v>
      </c>
      <c r="D10" s="52">
        <v>600</v>
      </c>
      <c r="E10" s="53">
        <v>600</v>
      </c>
      <c r="F10" s="56" t="s">
        <v>4</v>
      </c>
      <c r="H10" s="29"/>
    </row>
    <row r="11" spans="1:8">
      <c r="B11" s="20"/>
      <c r="C11" s="51" t="s">
        <v>16</v>
      </c>
      <c r="D11" s="52">
        <v>150</v>
      </c>
      <c r="E11" s="53">
        <v>150</v>
      </c>
      <c r="F11" s="56" t="s">
        <v>93</v>
      </c>
      <c r="H11" s="29"/>
    </row>
    <row r="12" spans="1:8">
      <c r="B12" s="20"/>
      <c r="C12" s="51" t="s">
        <v>92</v>
      </c>
      <c r="D12" s="52">
        <v>187.5</v>
      </c>
      <c r="E12" s="53">
        <v>250</v>
      </c>
      <c r="F12" s="56"/>
      <c r="H12" s="29"/>
    </row>
    <row r="13" spans="1:8">
      <c r="B13" s="20"/>
      <c r="C13" s="51" t="s">
        <v>17</v>
      </c>
      <c r="D13" s="52">
        <v>95</v>
      </c>
      <c r="E13" s="53">
        <v>95</v>
      </c>
      <c r="F13" s="56"/>
    </row>
    <row r="14" spans="1:8">
      <c r="B14" s="20"/>
      <c r="C14" s="51" t="s">
        <v>7</v>
      </c>
      <c r="D14" s="52">
        <v>2500</v>
      </c>
      <c r="E14" s="53">
        <v>2500</v>
      </c>
      <c r="F14" s="54" t="s">
        <v>35</v>
      </c>
    </row>
    <row r="15" spans="1:8">
      <c r="B15" s="20"/>
      <c r="C15" s="51" t="s">
        <v>5</v>
      </c>
      <c r="D15" s="52">
        <v>296</v>
      </c>
      <c r="E15" s="53">
        <v>370</v>
      </c>
      <c r="F15" s="54" t="s">
        <v>38</v>
      </c>
      <c r="H15" s="29"/>
    </row>
    <row r="16" spans="1:8">
      <c r="B16" s="20"/>
      <c r="C16" s="51" t="s">
        <v>28</v>
      </c>
      <c r="D16" s="53">
        <f>+(SUM(D5:D15)*0.065)/2</f>
        <v>168.13875000000002</v>
      </c>
      <c r="E16" s="53">
        <f>+(SUM(E5:E15)*0.065)/2</f>
        <v>177.45000000000002</v>
      </c>
      <c r="F16" s="57" t="s">
        <v>94</v>
      </c>
      <c r="H16" s="29"/>
    </row>
    <row r="17" spans="2:12">
      <c r="B17" s="242" t="s">
        <v>8</v>
      </c>
      <c r="C17" s="242"/>
      <c r="D17" s="58">
        <f>+SUM(D5:D16)</f>
        <v>5341.6387500000001</v>
      </c>
      <c r="E17" s="58">
        <f>+SUM(E5:E16)</f>
        <v>5637.45</v>
      </c>
      <c r="F17" s="54"/>
      <c r="H17" s="29"/>
    </row>
    <row r="18" spans="2:12">
      <c r="B18" s="59"/>
      <c r="C18" s="59"/>
      <c r="D18" s="60"/>
      <c r="E18" s="61"/>
      <c r="F18" s="62"/>
      <c r="H18" s="29"/>
    </row>
    <row r="19" spans="2:12">
      <c r="B19" s="241" t="s">
        <v>9</v>
      </c>
      <c r="C19" s="241"/>
      <c r="D19" s="63"/>
      <c r="E19" s="61"/>
      <c r="F19" s="54"/>
      <c r="H19" s="29"/>
    </row>
    <row r="20" spans="2:12">
      <c r="B20" s="20"/>
      <c r="C20" s="51" t="s">
        <v>132</v>
      </c>
      <c r="D20" s="64">
        <f>'App1. Machinery Etc'!$H$41</f>
        <v>670.64718614718618</v>
      </c>
      <c r="E20" s="64">
        <f>'App1. Machinery Etc'!$H$41</f>
        <v>670.64718614718618</v>
      </c>
      <c r="F20" s="65" t="s">
        <v>133</v>
      </c>
      <c r="H20" s="29"/>
    </row>
    <row r="21" spans="2:12">
      <c r="B21" s="20"/>
      <c r="C21" s="51" t="s">
        <v>134</v>
      </c>
      <c r="D21" s="64">
        <f>'App1. Machinery Etc'!$I$41</f>
        <v>461.92045454545456</v>
      </c>
      <c r="E21" s="64">
        <f>'App1. Machinery Etc'!$I$41</f>
        <v>461.92045454545456</v>
      </c>
      <c r="F21" s="65" t="s">
        <v>133</v>
      </c>
      <c r="H21" s="29"/>
    </row>
    <row r="22" spans="2:12">
      <c r="B22" s="20"/>
      <c r="C22" s="51" t="s">
        <v>25</v>
      </c>
      <c r="D22" s="53">
        <v>195</v>
      </c>
      <c r="E22" s="53">
        <v>195</v>
      </c>
      <c r="F22" s="54" t="s">
        <v>23</v>
      </c>
      <c r="H22" s="29"/>
    </row>
    <row r="23" spans="2:12">
      <c r="B23" s="20"/>
      <c r="C23" s="55" t="s">
        <v>26</v>
      </c>
      <c r="D23" s="53">
        <f>70*1.1</f>
        <v>77</v>
      </c>
      <c r="E23" s="53">
        <f>70*1.1</f>
        <v>77</v>
      </c>
      <c r="F23" s="65" t="s">
        <v>88</v>
      </c>
      <c r="H23" s="29"/>
      <c r="L23" s="66"/>
    </row>
    <row r="24" spans="2:12">
      <c r="B24" s="20"/>
      <c r="C24" s="51" t="s">
        <v>27</v>
      </c>
      <c r="D24" s="53">
        <f>15000*0.05</f>
        <v>750</v>
      </c>
      <c r="E24" s="53">
        <f>15000*0.05</f>
        <v>750</v>
      </c>
      <c r="F24" s="65" t="s">
        <v>97</v>
      </c>
      <c r="H24" s="29"/>
    </row>
    <row r="25" spans="2:12">
      <c r="B25" s="20"/>
      <c r="C25" s="51" t="s">
        <v>29</v>
      </c>
      <c r="D25" s="53">
        <v>250</v>
      </c>
      <c r="E25" s="53">
        <v>250</v>
      </c>
      <c r="F25" s="54" t="s">
        <v>59</v>
      </c>
      <c r="H25" s="29"/>
    </row>
    <row r="26" spans="2:12">
      <c r="B26" s="20"/>
      <c r="C26" s="51" t="s">
        <v>30</v>
      </c>
      <c r="D26" s="53">
        <v>240</v>
      </c>
      <c r="E26" s="53">
        <v>240</v>
      </c>
      <c r="F26" s="54" t="s">
        <v>60</v>
      </c>
      <c r="H26" s="29"/>
    </row>
    <row r="27" spans="2:12">
      <c r="B27" s="67"/>
      <c r="C27" s="67" t="s">
        <v>6</v>
      </c>
      <c r="D27" s="53">
        <v>170</v>
      </c>
      <c r="E27" s="53">
        <v>170</v>
      </c>
      <c r="F27" s="54" t="s">
        <v>24</v>
      </c>
      <c r="H27" s="29"/>
    </row>
    <row r="28" spans="2:12">
      <c r="B28" s="67"/>
      <c r="C28" s="67" t="s">
        <v>22</v>
      </c>
      <c r="D28" s="53">
        <v>60</v>
      </c>
      <c r="E28" s="53">
        <v>60</v>
      </c>
      <c r="F28" s="56" t="s">
        <v>37</v>
      </c>
      <c r="H28" s="29"/>
    </row>
    <row r="29" spans="2:12" ht="14">
      <c r="B29" s="67"/>
      <c r="C29" s="212" t="s">
        <v>213</v>
      </c>
      <c r="D29" s="53"/>
      <c r="E29" s="53">
        <f>-'App3. Amortization calc'!$C$9</f>
        <v>1728.4667316621185</v>
      </c>
      <c r="F29" s="56"/>
      <c r="H29" s="29"/>
    </row>
    <row r="30" spans="2:12">
      <c r="B30" s="242" t="s">
        <v>10</v>
      </c>
      <c r="C30" s="242"/>
      <c r="D30" s="68">
        <f>+SUM(D20:D29)</f>
        <v>2874.5676406926405</v>
      </c>
      <c r="E30" s="68">
        <f>+SUM(E20:E29)</f>
        <v>4603.0343723547594</v>
      </c>
      <c r="F30" s="54"/>
      <c r="H30" s="29"/>
    </row>
    <row r="31" spans="2:12">
      <c r="B31" s="246"/>
      <c r="C31" s="247"/>
      <c r="D31" s="69"/>
      <c r="E31" s="61"/>
      <c r="F31" s="62"/>
    </row>
    <row r="32" spans="2:12">
      <c r="B32" s="241" t="s">
        <v>11</v>
      </c>
      <c r="C32" s="241"/>
      <c r="D32" s="70">
        <f>+D17+D30</f>
        <v>8216.2063906926414</v>
      </c>
      <c r="E32" s="70">
        <f>+E17+E30</f>
        <v>10240.48437235476</v>
      </c>
      <c r="F32" s="54"/>
      <c r="H32" s="29"/>
    </row>
    <row r="33" spans="2:8">
      <c r="B33" s="246"/>
      <c r="C33" s="247"/>
      <c r="D33" s="51"/>
      <c r="E33" s="71"/>
      <c r="F33" s="62"/>
    </row>
    <row r="34" spans="2:8">
      <c r="B34" s="241" t="s">
        <v>87</v>
      </c>
      <c r="C34" s="241"/>
      <c r="D34" s="48"/>
      <c r="E34" s="72"/>
      <c r="F34" s="67"/>
    </row>
    <row r="35" spans="2:8">
      <c r="B35" s="48"/>
      <c r="C35" s="51" t="s">
        <v>86</v>
      </c>
      <c r="D35" s="80">
        <f>0.8*E35</f>
        <v>1152</v>
      </c>
      <c r="E35" s="81">
        <f>0.8*1800</f>
        <v>1440</v>
      </c>
      <c r="F35" s="73" t="s">
        <v>141</v>
      </c>
      <c r="H35" s="29"/>
    </row>
    <row r="36" spans="2:8">
      <c r="B36" s="48"/>
      <c r="C36" s="51" t="s">
        <v>85</v>
      </c>
      <c r="D36" s="80">
        <f>0.8*E36</f>
        <v>448</v>
      </c>
      <c r="E36" s="81">
        <f>0.2*2800</f>
        <v>560</v>
      </c>
      <c r="F36" s="73" t="s">
        <v>142</v>
      </c>
      <c r="H36" s="29"/>
    </row>
    <row r="37" spans="2:8">
      <c r="B37" s="248" t="s">
        <v>31</v>
      </c>
      <c r="C37" s="248"/>
      <c r="D37" s="74"/>
      <c r="E37" s="72"/>
      <c r="F37" s="50"/>
    </row>
    <row r="38" spans="2:8">
      <c r="B38" s="48"/>
      <c r="C38" s="51" t="s">
        <v>86</v>
      </c>
      <c r="D38" s="64">
        <v>6.5</v>
      </c>
      <c r="E38" s="64">
        <v>6.5</v>
      </c>
      <c r="F38" s="67"/>
      <c r="H38" s="29"/>
    </row>
    <row r="39" spans="2:8">
      <c r="B39" s="48"/>
      <c r="C39" s="51" t="s">
        <v>85</v>
      </c>
      <c r="D39" s="64">
        <v>3.25</v>
      </c>
      <c r="E39" s="64">
        <v>3.25</v>
      </c>
      <c r="F39" s="67"/>
      <c r="H39" s="29"/>
    </row>
    <row r="40" spans="2:8">
      <c r="B40" s="248" t="s">
        <v>32</v>
      </c>
      <c r="C40" s="248"/>
      <c r="D40" s="70">
        <f>(D35*D38)+(D36*D39)</f>
        <v>8944</v>
      </c>
      <c r="E40" s="70">
        <f>(E35*E38)+(E36*E39)</f>
        <v>11180</v>
      </c>
      <c r="F40" s="50"/>
      <c r="H40" s="29"/>
    </row>
    <row r="41" spans="2:8">
      <c r="B41" s="248"/>
      <c r="C41" s="248"/>
      <c r="D41" s="75"/>
      <c r="E41" s="61"/>
      <c r="F41" s="50"/>
    </row>
    <row r="42" spans="2:8">
      <c r="B42" s="248" t="s">
        <v>33</v>
      </c>
      <c r="C42" s="248"/>
      <c r="D42" s="70">
        <f>D40-D32</f>
        <v>727.79360930735857</v>
      </c>
      <c r="E42" s="70">
        <f>E40-E32</f>
        <v>939.51562764523987</v>
      </c>
      <c r="F42" s="50"/>
    </row>
    <row r="43" spans="2:8">
      <c r="B43" s="76"/>
      <c r="C43" s="76"/>
      <c r="D43" s="76"/>
      <c r="E43" s="77"/>
      <c r="F43" s="76"/>
      <c r="H43" s="42"/>
    </row>
    <row r="44" spans="2:8">
      <c r="B44" s="224" t="s">
        <v>237</v>
      </c>
      <c r="C44" s="20"/>
      <c r="D44" s="20"/>
      <c r="E44" s="161"/>
      <c r="F44" s="20"/>
      <c r="H44" s="20"/>
    </row>
    <row r="45" spans="2:8">
      <c r="B45" s="224"/>
      <c r="C45" s="220" t="s">
        <v>86</v>
      </c>
      <c r="D45" s="20"/>
      <c r="E45" s="225">
        <f>(E32-(E39*E36))/E35</f>
        <v>5.8475585919130282</v>
      </c>
      <c r="F45" s="20"/>
      <c r="H45" s="29"/>
    </row>
    <row r="46" spans="2:8" s="20" customFormat="1">
      <c r="C46" s="220" t="s">
        <v>85</v>
      </c>
      <c r="E46" s="225">
        <f>(E32-(E38*E35))/E36</f>
        <v>1.5722935220620717</v>
      </c>
      <c r="H46" s="29"/>
    </row>
    <row r="47" spans="2:8">
      <c r="B47" s="76"/>
      <c r="C47" s="226"/>
      <c r="D47" s="76"/>
      <c r="E47" s="227"/>
      <c r="F47" s="76"/>
      <c r="H47" s="76"/>
    </row>
    <row r="48" spans="2:8">
      <c r="B48" s="78" t="s">
        <v>89</v>
      </c>
      <c r="E48" s="79"/>
    </row>
    <row r="49" spans="2:8">
      <c r="B49" s="78" t="s">
        <v>214</v>
      </c>
      <c r="C49" s="78" t="s">
        <v>147</v>
      </c>
    </row>
    <row r="50" spans="2:8" s="78" customFormat="1" ht="28.25" customHeight="1">
      <c r="B50" s="240" t="s">
        <v>215</v>
      </c>
      <c r="C50" s="240"/>
      <c r="D50" s="240"/>
      <c r="E50" s="240"/>
      <c r="F50" s="240"/>
      <c r="G50" s="228"/>
      <c r="H50" s="21"/>
    </row>
    <row r="52" spans="2:8">
      <c r="E52" s="21"/>
    </row>
    <row r="53" spans="2:8">
      <c r="E53" s="79"/>
    </row>
  </sheetData>
  <sheetProtection sheet="1" objects="1" scenarios="1"/>
  <protectedRanges>
    <protectedRange sqref="A1:XFD16 A18:XFD29 A31:XFD31 A33:XFD39 A41:XFD41 A43:XFD43 A47:XFD59" name="Range1"/>
  </protectedRanges>
  <mergeCells count="14">
    <mergeCell ref="B50:F50"/>
    <mergeCell ref="B19:C19"/>
    <mergeCell ref="B17:C17"/>
    <mergeCell ref="B4:C4"/>
    <mergeCell ref="B2:F2"/>
    <mergeCell ref="B33:C33"/>
    <mergeCell ref="B31:C31"/>
    <mergeCell ref="B32:C32"/>
    <mergeCell ref="B30:C30"/>
    <mergeCell ref="B40:C40"/>
    <mergeCell ref="B41:C41"/>
    <mergeCell ref="B42:C42"/>
    <mergeCell ref="B37:C37"/>
    <mergeCell ref="B34:C34"/>
  </mergeCells>
  <pageMargins left="0.2" right="0.2" top="0.75" bottom="0.75" header="0.3" footer="0.3"/>
  <pageSetup scale="82" orientation="portrait"/>
  <ignoredErrors>
    <ignoredError sqref="E16 D16:D24 E23:E29" unlockedFormula="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7"/>
  <sheetViews>
    <sheetView workbookViewId="0">
      <selection activeCell="B3" sqref="B3:B4"/>
    </sheetView>
  </sheetViews>
  <sheetFormatPr baseColWidth="10" defaultColWidth="9.1640625" defaultRowHeight="13" x14ac:dyDescent="0"/>
  <cols>
    <col min="1" max="1" width="5.6640625" style="21" customWidth="1"/>
    <col min="2" max="2" width="19" style="21" customWidth="1"/>
    <col min="3" max="3" width="13.5" style="21" customWidth="1"/>
    <col min="4" max="4" width="12.83203125" style="21" customWidth="1"/>
    <col min="5" max="5" width="12" style="21" customWidth="1"/>
    <col min="6" max="7" width="12.6640625" style="21" customWidth="1"/>
    <col min="8" max="8" width="12.5" style="21" customWidth="1"/>
    <col min="9" max="9" width="2.6640625" style="21" customWidth="1"/>
    <col min="10" max="16384" width="9.1640625" style="21"/>
  </cols>
  <sheetData>
    <row r="2" spans="2:8" ht="38.5" customHeight="1">
      <c r="B2" s="249" t="s">
        <v>216</v>
      </c>
      <c r="C2" s="249"/>
      <c r="D2" s="249"/>
      <c r="E2" s="249"/>
      <c r="F2" s="249"/>
      <c r="G2" s="249"/>
      <c r="H2" s="249"/>
    </row>
    <row r="3" spans="2:8" ht="14">
      <c r="B3" s="250" t="s">
        <v>217</v>
      </c>
      <c r="C3" s="252" t="s">
        <v>218</v>
      </c>
      <c r="D3" s="252"/>
      <c r="E3" s="252"/>
      <c r="F3" s="252"/>
      <c r="G3" s="252"/>
      <c r="H3" s="252"/>
    </row>
    <row r="4" spans="2:8" ht="17" customHeight="1">
      <c r="B4" s="251"/>
      <c r="C4" s="83">
        <v>5.5</v>
      </c>
      <c r="D4" s="83">
        <v>5.75</v>
      </c>
      <c r="E4" s="83">
        <v>6</v>
      </c>
      <c r="F4" s="83">
        <v>6.25</v>
      </c>
      <c r="G4" s="83">
        <v>6.5</v>
      </c>
      <c r="H4" s="83">
        <v>6.75</v>
      </c>
    </row>
    <row r="5" spans="2:8">
      <c r="B5" s="84">
        <f t="shared" ref="B5:B6" si="0">B6-200</f>
        <v>840</v>
      </c>
      <c r="C5" s="85">
        <f>C$4*$B5+('Hop Production'!$E$36*'Hop Production'!$E$39)-(SUM('Hop Production'!$E$5:$E$15)*(1+'Price&amp;Yield Analysis'!$C$13*0.5))-'Hop Production'!$E$30</f>
        <v>-3800.4843723547592</v>
      </c>
      <c r="D5" s="85">
        <f>D$4*$B5+('Hop Production'!$E$36*'Hop Production'!$E$39)-(SUM('Hop Production'!$E$5:$E$15)*(1+'Price&amp;Yield Analysis'!$C$13*0.5))-'Hop Production'!$E$30</f>
        <v>-3590.4843723547592</v>
      </c>
      <c r="E5" s="85">
        <f>E$4*$B5+('Hop Production'!$E$36*'Hop Production'!$E$39)-(SUM('Hop Production'!$E$5:$E$15)*(1+'Price&amp;Yield Analysis'!$C$13*0.5))-'Hop Production'!$E$30</f>
        <v>-3380.4843723547592</v>
      </c>
      <c r="F5" s="85">
        <f>F$4*$B5+('Hop Production'!$E$36*'Hop Production'!$E$39)-(SUM('Hop Production'!$E$5:$E$15)*(1+'Price&amp;Yield Analysis'!$C$13*0.5))-'Hop Production'!$E$30</f>
        <v>-3170.4843723547592</v>
      </c>
      <c r="G5" s="85">
        <f>G$4*$B5+('Hop Production'!$E$36*'Hop Production'!$E$39)-(SUM('Hop Production'!$E$5:$E$15)*(1+'Price&amp;Yield Analysis'!$C$13*0.5))-'Hop Production'!$E$30</f>
        <v>-2960.4843723547592</v>
      </c>
      <c r="H5" s="85">
        <f>H$4*$B5+('Hop Production'!$E$36*'Hop Production'!$E$39)-(SUM('Hop Production'!$E$5:$E$15)*(1+'Price&amp;Yield Analysis'!$C$13*0.5))-'Hop Production'!$E$30</f>
        <v>-2750.4843723547592</v>
      </c>
    </row>
    <row r="6" spans="2:8">
      <c r="B6" s="84">
        <f t="shared" si="0"/>
        <v>1040</v>
      </c>
      <c r="C6" s="85">
        <f>C$4*$B6+('Hop Production'!$E$36*'Hop Production'!$E$39)-(SUM('Hop Production'!$E$5:$E$15)*(1+'Price&amp;Yield Analysis'!$C$13*0.5))-'Hop Production'!$E$30</f>
        <v>-2700.4843723547592</v>
      </c>
      <c r="D6" s="85">
        <f>D$4*$B6+('Hop Production'!$E$36*'Hop Production'!$E$39)-(SUM('Hop Production'!$E$5:$E$15)*(1+'Price&amp;Yield Analysis'!$C$13*0.5))-'Hop Production'!$E$30</f>
        <v>-2440.4843723547592</v>
      </c>
      <c r="E6" s="85">
        <f>E$4*$B6+('Hop Production'!$E$36*'Hop Production'!$E$39)-(SUM('Hop Production'!$E$5:$E$15)*(1+'Price&amp;Yield Analysis'!$C$13*0.5))-'Hop Production'!$E$30</f>
        <v>-2180.4843723547592</v>
      </c>
      <c r="F6" s="85">
        <f>F$4*$B6+('Hop Production'!$E$36*'Hop Production'!$E$39)-(SUM('Hop Production'!$E$5:$E$15)*(1+'Price&amp;Yield Analysis'!$C$13*0.5))-'Hop Production'!$E$30</f>
        <v>-1920.4843723547592</v>
      </c>
      <c r="G6" s="85">
        <f>G$4*$B6+('Hop Production'!$E$36*'Hop Production'!$E$39)-(SUM('Hop Production'!$E$5:$E$15)*(1+'Price&amp;Yield Analysis'!$C$13*0.5))-'Hop Production'!$E$30</f>
        <v>-1660.4843723547592</v>
      </c>
      <c r="H6" s="85">
        <f>H$4*$B6+('Hop Production'!$E$36*'Hop Production'!$E$39)-(SUM('Hop Production'!$E$5:$E$15)*(1+'Price&amp;Yield Analysis'!$C$13*0.5))-'Hop Production'!$E$30</f>
        <v>-1400.4843723547592</v>
      </c>
    </row>
    <row r="7" spans="2:8">
      <c r="B7" s="84">
        <f>B8-200</f>
        <v>1240</v>
      </c>
      <c r="C7" s="85">
        <f>C$4*$B7+('Hop Production'!$E$36*'Hop Production'!$E$39)-(SUM('Hop Production'!$E$5:$E$15)*(1+'Price&amp;Yield Analysis'!$C$13*0.5))-'Hop Production'!$E$30</f>
        <v>-1600.4843723547592</v>
      </c>
      <c r="D7" s="85">
        <f>D$4*$B7+('Hop Production'!$E$36*'Hop Production'!$E$39)-(SUM('Hop Production'!$E$5:$E$15)*(1+'Price&amp;Yield Analysis'!$C$13*0.5))-'Hop Production'!$E$30</f>
        <v>-1290.4843723547592</v>
      </c>
      <c r="E7" s="85">
        <f>E$4*$B7+('Hop Production'!$E$36*'Hop Production'!$E$39)-(SUM('Hop Production'!$E$5:$E$15)*(1+'Price&amp;Yield Analysis'!$C$13*0.5))-'Hop Production'!$E$30</f>
        <v>-980.48437235475922</v>
      </c>
      <c r="F7" s="85">
        <f>F$4*$B7+('Hop Production'!$E$36*'Hop Production'!$E$39)-(SUM('Hop Production'!$E$5:$E$15)*(1+'Price&amp;Yield Analysis'!$C$13*0.5))-'Hop Production'!$E$30</f>
        <v>-670.48437235475922</v>
      </c>
      <c r="G7" s="85">
        <f>G$4*$B7+('Hop Production'!$E$36*'Hop Production'!$E$39)-(SUM('Hop Production'!$E$5:$E$15)*(1+'Price&amp;Yield Analysis'!$C$13*0.5))-'Hop Production'!$E$30</f>
        <v>-360.48437235475922</v>
      </c>
      <c r="H7" s="85">
        <f>H$4*$B7+('Hop Production'!$E$36*'Hop Production'!$E$39)-(SUM('Hop Production'!$E$5:$E$15)*(1+'Price&amp;Yield Analysis'!$C$13*0.5))-'Hop Production'!$E$30</f>
        <v>-50.484372354759216</v>
      </c>
    </row>
    <row r="8" spans="2:8">
      <c r="B8" s="84">
        <v>1440</v>
      </c>
      <c r="C8" s="85">
        <f>C$4*$B8+('Hop Production'!$E$36*'Hop Production'!$E$39)-(SUM('Hop Production'!$E$5:$E$15)*(1+'Price&amp;Yield Analysis'!$C$13*0.5))-'Hop Production'!$E$30</f>
        <v>-500.48437235475922</v>
      </c>
      <c r="D8" s="85">
        <f>D$4*$B8+('Hop Production'!$E$36*'Hop Production'!$E$39)-(SUM('Hop Production'!$E$5:$E$15)*(1+'Price&amp;Yield Analysis'!$C$13*0.5))-'Hop Production'!$E$30</f>
        <v>-140.48437235475922</v>
      </c>
      <c r="E8" s="86">
        <f>E$4*$B8+('Hop Production'!$E$36*'Hop Production'!$E$39)-(SUM('Hop Production'!$E$5:$E$15)*(1+'Price&amp;Yield Analysis'!$C$13*0.5))-'Hop Production'!$E$30</f>
        <v>219.51562764524078</v>
      </c>
      <c r="F8" s="86">
        <f>F$4*$B8+('Hop Production'!$E$36*'Hop Production'!$E$39)-(SUM('Hop Production'!$E$5:$E$15)*(1+'Price&amp;Yield Analysis'!$C$13*0.5))-'Hop Production'!$E$30</f>
        <v>579.51562764524078</v>
      </c>
      <c r="G8" s="86">
        <f>G$4*$B8+('Hop Production'!$E$36*'Hop Production'!$E$39)-(SUM('Hop Production'!$E$5:$E$15)*(1+'Price&amp;Yield Analysis'!$C$13*0.5))-'Hop Production'!$E$30</f>
        <v>939.51562764524078</v>
      </c>
      <c r="H8" s="86">
        <f>H$4*$B8+('Hop Production'!$E$36*'Hop Production'!$E$39)-(SUM('Hop Production'!$E$5:$E$15)*(1+'Price&amp;Yield Analysis'!$C$13*0.5))-'Hop Production'!$E$30</f>
        <v>1299.5156276452408</v>
      </c>
    </row>
    <row r="9" spans="2:8">
      <c r="B9" s="84">
        <f>B8+200</f>
        <v>1640</v>
      </c>
      <c r="C9" s="86">
        <f>C$4*$B9+('Hop Production'!$E$36*'Hop Production'!$E$39)-(SUM('Hop Production'!$E$5:$E$15)*(1+'Price&amp;Yield Analysis'!$C$13*0.5))-'Hop Production'!$E$30</f>
        <v>599.51562764524078</v>
      </c>
      <c r="D9" s="86">
        <f>D$4*$B9+('Hop Production'!$E$36*'Hop Production'!$E$39)-(SUM('Hop Production'!$E$5:$E$15)*(1+'Price&amp;Yield Analysis'!$C$13*0.5))-'Hop Production'!$E$30</f>
        <v>1009.5156276452408</v>
      </c>
      <c r="E9" s="86">
        <f>E$4*$B9+('Hop Production'!$E$36*'Hop Production'!$E$39)-(SUM('Hop Production'!$E$5:$E$15)*(1+'Price&amp;Yield Analysis'!$C$13*0.5))-'Hop Production'!$E$30</f>
        <v>1419.5156276452408</v>
      </c>
      <c r="F9" s="86">
        <f>F$4*$B9+('Hop Production'!$E$36*'Hop Production'!$E$39)-(SUM('Hop Production'!$E$5:$E$15)*(1+'Price&amp;Yield Analysis'!$C$13*0.5))-'Hop Production'!$E$30</f>
        <v>1829.5156276452408</v>
      </c>
      <c r="G9" s="86">
        <f>G$4*$B9+('Hop Production'!$E$36*'Hop Production'!$E$39)-(SUM('Hop Production'!$E$5:$E$15)*(1+'Price&amp;Yield Analysis'!$C$13*0.5))-'Hop Production'!$E$30</f>
        <v>2239.5156276452408</v>
      </c>
      <c r="H9" s="86">
        <f>H$4*$B9+('Hop Production'!$E$36*'Hop Production'!$E$39)-(SUM('Hop Production'!$E$5:$E$15)*(1+'Price&amp;Yield Analysis'!$C$13*0.5))-'Hop Production'!$E$30</f>
        <v>2649.5156276452408</v>
      </c>
    </row>
    <row r="10" spans="2:8">
      <c r="B10" s="84">
        <f>B9+200</f>
        <v>1840</v>
      </c>
      <c r="C10" s="86">
        <f>C$4*$B10+('Hop Production'!$E$36*'Hop Production'!$E$39)-(SUM('Hop Production'!$E$5:$E$15)*(1+'Price&amp;Yield Analysis'!$C$13*0.5))-'Hop Production'!$E$30</f>
        <v>1699.5156276452408</v>
      </c>
      <c r="D10" s="86">
        <f>D$4*$B10+('Hop Production'!$E$36*'Hop Production'!$E$39)-(SUM('Hop Production'!$E$5:$E$15)*(1+'Price&amp;Yield Analysis'!$C$13*0.5))-'Hop Production'!$E$30</f>
        <v>2159.5156276452408</v>
      </c>
      <c r="E10" s="86">
        <f>E$4*$B10+('Hop Production'!$E$36*'Hop Production'!$E$39)-(SUM('Hop Production'!$E$5:$E$15)*(1+'Price&amp;Yield Analysis'!$C$13*0.5))-'Hop Production'!$E$30</f>
        <v>2619.5156276452408</v>
      </c>
      <c r="F10" s="86">
        <f>F$4*$B10+('Hop Production'!$E$36*'Hop Production'!$E$39)-(SUM('Hop Production'!$E$5:$E$15)*(1+'Price&amp;Yield Analysis'!$C$13*0.5))-'Hop Production'!$E$30</f>
        <v>3079.5156276452408</v>
      </c>
      <c r="G10" s="86">
        <f>G$4*$B10+('Hop Production'!$E$36*'Hop Production'!$E$39)-(SUM('Hop Production'!$E$5:$E$15)*(1+'Price&amp;Yield Analysis'!$C$13*0.5))-'Hop Production'!$E$30</f>
        <v>3539.5156276452408</v>
      </c>
      <c r="H10" s="86">
        <f>H$4*$B10+('Hop Production'!$E$36*'Hop Production'!$E$39)-(SUM('Hop Production'!$E$5:$E$15)*(1+'Price&amp;Yield Analysis'!$C$13*0.5))-'Hop Production'!$E$30</f>
        <v>3999.5156276452399</v>
      </c>
    </row>
    <row r="11" spans="2:8">
      <c r="B11" s="84">
        <f t="shared" ref="B11:B12" si="1">B10+200</f>
        <v>2040</v>
      </c>
      <c r="C11" s="86">
        <f>C$4*$B11+('Hop Production'!$E$36*'Hop Production'!$E$39)-(SUM('Hop Production'!$E$5:$E$15)*(1+'Price&amp;Yield Analysis'!$C$13*0.5))-'Hop Production'!$E$30</f>
        <v>2799.5156276452408</v>
      </c>
      <c r="D11" s="86">
        <f>D$4*$B11+('Hop Production'!$E$36*'Hop Production'!$E$39)-(SUM('Hop Production'!$E$5:$E$15)*(1+'Price&amp;Yield Analysis'!$C$13*0.5))-'Hop Production'!$E$30</f>
        <v>3309.5156276452408</v>
      </c>
      <c r="E11" s="86">
        <f>E$4*$B11+('Hop Production'!$E$36*'Hop Production'!$E$39)-(SUM('Hop Production'!$E$5:$E$15)*(1+'Price&amp;Yield Analysis'!$C$13*0.5))-'Hop Production'!$E$30</f>
        <v>3819.5156276452399</v>
      </c>
      <c r="F11" s="86">
        <f>F$4*$B11+('Hop Production'!$E$36*'Hop Production'!$E$39)-(SUM('Hop Production'!$E$5:$E$15)*(1+'Price&amp;Yield Analysis'!$C$13*0.5))-'Hop Production'!$E$30</f>
        <v>4329.5156276452399</v>
      </c>
      <c r="G11" s="86">
        <f>G$4*$B11+('Hop Production'!$E$36*'Hop Production'!$E$39)-(SUM('Hop Production'!$E$5:$E$15)*(1+'Price&amp;Yield Analysis'!$C$13*0.5))-'Hop Production'!$E$30</f>
        <v>4839.5156276452399</v>
      </c>
      <c r="H11" s="86">
        <f>H$4*$B11+('Hop Production'!$E$36*'Hop Production'!$E$39)-(SUM('Hop Production'!$E$5:$E$15)*(1+'Price&amp;Yield Analysis'!$C$13*0.5))-'Hop Production'!$E$30</f>
        <v>5349.5156276452399</v>
      </c>
    </row>
    <row r="12" spans="2:8">
      <c r="B12" s="84">
        <f t="shared" si="1"/>
        <v>2240</v>
      </c>
      <c r="C12" s="86">
        <f>C$4*$B12+('Hop Production'!$E$36*'Hop Production'!$E$39)-(SUM('Hop Production'!$E$5:$E$15)*(1+'Price&amp;Yield Analysis'!$C$13*0.5))-'Hop Production'!$E$30</f>
        <v>3899.5156276452399</v>
      </c>
      <c r="D12" s="86">
        <f>D$4*$B12+('Hop Production'!$E$36*'Hop Production'!$E$39)-(SUM('Hop Production'!$E$5:$E$15)*(1+'Price&amp;Yield Analysis'!$C$13*0.5))-'Hop Production'!$E$30</f>
        <v>4459.5156276452399</v>
      </c>
      <c r="E12" s="86">
        <f>E$4*$B12+('Hop Production'!$E$36*'Hop Production'!$E$39)-(SUM('Hop Production'!$E$5:$E$15)*(1+'Price&amp;Yield Analysis'!$C$13*0.5))-'Hop Production'!$E$30</f>
        <v>5019.5156276452399</v>
      </c>
      <c r="F12" s="86">
        <f>F$4*$B12+('Hop Production'!$E$36*'Hop Production'!$E$39)-(SUM('Hop Production'!$E$5:$E$15)*(1+'Price&amp;Yield Analysis'!$C$13*0.5))-'Hop Production'!$E$30</f>
        <v>5579.5156276452399</v>
      </c>
      <c r="G12" s="86">
        <f>G$4*$B12+('Hop Production'!$E$36*'Hop Production'!$E$39)-(SUM('Hop Production'!$E$5:$E$15)*(1+'Price&amp;Yield Analysis'!$C$13*0.5))-'Hop Production'!$E$30</f>
        <v>6139.5156276452399</v>
      </c>
      <c r="H12" s="86">
        <f>H$4*$B12+('Hop Production'!$E$36*'Hop Production'!$E$39)-(SUM('Hop Production'!$E$5:$E$15)*(1+'Price&amp;Yield Analysis'!$C$13*0.5))-'Hop Production'!$E$30</f>
        <v>6699.5156276452399</v>
      </c>
    </row>
    <row r="13" spans="2:8">
      <c r="B13" s="87" t="s">
        <v>186</v>
      </c>
      <c r="C13" s="88">
        <v>6.5000000000000002E-2</v>
      </c>
      <c r="D13" s="87"/>
      <c r="E13" s="87"/>
      <c r="F13" s="87"/>
      <c r="G13" s="87"/>
      <c r="H13" s="87"/>
    </row>
    <row r="14" spans="2:8">
      <c r="B14" s="89" t="s">
        <v>187</v>
      </c>
      <c r="C14" s="90"/>
      <c r="D14" s="20"/>
    </row>
    <row r="15" spans="2:8">
      <c r="B15" s="89" t="s">
        <v>219</v>
      </c>
      <c r="C15" s="90"/>
      <c r="D15" s="20"/>
    </row>
    <row r="16" spans="2:8">
      <c r="B16" s="91" t="s">
        <v>220</v>
      </c>
    </row>
    <row r="17" spans="2:6">
      <c r="B17" s="91" t="s">
        <v>221</v>
      </c>
      <c r="C17" s="92"/>
      <c r="F17" s="93"/>
    </row>
  </sheetData>
  <sheetProtection sheet="1" objects="1" scenarios="1"/>
  <protectedRanges>
    <protectedRange sqref="A1:XFD2 C5:H12 A14:XFD27" name="Range1"/>
  </protectedRanges>
  <mergeCells count="3">
    <mergeCell ref="B2:H2"/>
    <mergeCell ref="B3:B4"/>
    <mergeCell ref="C3:H3"/>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9"/>
  <sheetViews>
    <sheetView workbookViewId="0">
      <selection activeCell="B49" sqref="B49"/>
    </sheetView>
  </sheetViews>
  <sheetFormatPr baseColWidth="10" defaultColWidth="9.1640625" defaultRowHeight="13" x14ac:dyDescent="0"/>
  <cols>
    <col min="1" max="1" width="5.6640625" style="21" customWidth="1"/>
    <col min="2" max="2" width="35" style="21" customWidth="1"/>
    <col min="3" max="3" width="13.1640625" style="95" customWidth="1"/>
    <col min="4" max="5" width="15.1640625" style="21" customWidth="1"/>
    <col min="6" max="6" width="12.83203125" style="21" customWidth="1"/>
    <col min="7" max="7" width="12" style="21" customWidth="1"/>
    <col min="8" max="8" width="13.6640625" style="21" customWidth="1"/>
    <col min="9" max="9" width="11.33203125" style="21" customWidth="1"/>
    <col min="10" max="11" width="9.1640625" style="21"/>
    <col min="12" max="12" width="15.6640625" style="21" bestFit="1" customWidth="1"/>
    <col min="13" max="16384" width="9.1640625" style="21"/>
  </cols>
  <sheetData>
    <row r="1" spans="2:10" ht="15" customHeight="1"/>
    <row r="2" spans="2:10" ht="19.5" customHeight="1" thickBot="1">
      <c r="B2" s="257" t="s">
        <v>192</v>
      </c>
      <c r="C2" s="257"/>
      <c r="D2" s="257"/>
      <c r="E2" s="257"/>
      <c r="F2" s="257"/>
      <c r="G2" s="257"/>
      <c r="H2" s="257"/>
      <c r="I2" s="257"/>
    </row>
    <row r="3" spans="2:10" ht="25.5" customHeight="1">
      <c r="B3" s="258" t="s">
        <v>143</v>
      </c>
      <c r="C3" s="254" t="s">
        <v>98</v>
      </c>
      <c r="D3" s="254" t="s">
        <v>225</v>
      </c>
      <c r="E3" s="254" t="s">
        <v>99</v>
      </c>
      <c r="F3" s="254" t="s">
        <v>100</v>
      </c>
      <c r="G3" s="254" t="s">
        <v>226</v>
      </c>
      <c r="H3" s="254" t="s">
        <v>137</v>
      </c>
      <c r="I3" s="254" t="s">
        <v>138</v>
      </c>
    </row>
    <row r="4" spans="2:10" ht="21.75" customHeight="1">
      <c r="B4" s="259"/>
      <c r="C4" s="255"/>
      <c r="D4" s="255"/>
      <c r="E4" s="255"/>
      <c r="F4" s="255"/>
      <c r="G4" s="255"/>
      <c r="H4" s="255"/>
      <c r="I4" s="255"/>
    </row>
    <row r="5" spans="2:10">
      <c r="B5" s="96" t="s">
        <v>131</v>
      </c>
      <c r="C5" s="97">
        <v>1</v>
      </c>
      <c r="D5" s="98">
        <v>150000</v>
      </c>
      <c r="E5" s="99">
        <f>C5*D5</f>
        <v>150000</v>
      </c>
      <c r="F5" s="100">
        <v>30</v>
      </c>
      <c r="G5" s="98">
        <v>0</v>
      </c>
      <c r="H5" s="99">
        <f>(E5-G5)/F5</f>
        <v>5000</v>
      </c>
      <c r="I5" s="99">
        <f t="shared" ref="I5:I36" si="0">((E5+G5)/2)*$C$42</f>
        <v>3750</v>
      </c>
    </row>
    <row r="6" spans="2:10">
      <c r="B6" s="96" t="s">
        <v>135</v>
      </c>
      <c r="C6" s="97">
        <v>1</v>
      </c>
      <c r="D6" s="98">
        <v>75000</v>
      </c>
      <c r="E6" s="99">
        <f>C6*D6</f>
        <v>75000</v>
      </c>
      <c r="F6" s="100">
        <v>30</v>
      </c>
      <c r="G6" s="98">
        <v>0</v>
      </c>
      <c r="H6" s="99">
        <f t="shared" ref="H6:H38" si="1">(E6-G6)/F6</f>
        <v>2500</v>
      </c>
      <c r="I6" s="99">
        <f t="shared" si="0"/>
        <v>1875</v>
      </c>
    </row>
    <row r="7" spans="2:10">
      <c r="B7" s="101" t="s">
        <v>101</v>
      </c>
      <c r="C7" s="82">
        <v>2</v>
      </c>
      <c r="D7" s="98">
        <v>120000</v>
      </c>
      <c r="E7" s="99">
        <f>C7*D7</f>
        <v>240000</v>
      </c>
      <c r="F7" s="100">
        <v>10</v>
      </c>
      <c r="G7" s="98">
        <v>30000</v>
      </c>
      <c r="H7" s="99">
        <f t="shared" si="1"/>
        <v>21000</v>
      </c>
      <c r="I7" s="99">
        <f t="shared" si="0"/>
        <v>6750</v>
      </c>
      <c r="J7" s="102"/>
    </row>
    <row r="8" spans="2:10">
      <c r="B8" s="101" t="s">
        <v>102</v>
      </c>
      <c r="C8" s="82">
        <v>3</v>
      </c>
      <c r="D8" s="98">
        <v>80000</v>
      </c>
      <c r="E8" s="99">
        <f t="shared" ref="E8:E38" si="2">C8*D8</f>
        <v>240000</v>
      </c>
      <c r="F8" s="100">
        <v>10</v>
      </c>
      <c r="G8" s="98">
        <v>30000</v>
      </c>
      <c r="H8" s="99">
        <f t="shared" si="1"/>
        <v>21000</v>
      </c>
      <c r="I8" s="99">
        <f t="shared" si="0"/>
        <v>6750</v>
      </c>
      <c r="J8" s="102"/>
    </row>
    <row r="9" spans="2:10">
      <c r="B9" s="101" t="s">
        <v>103</v>
      </c>
      <c r="C9" s="82">
        <v>4</v>
      </c>
      <c r="D9" s="98">
        <v>65000</v>
      </c>
      <c r="E9" s="99">
        <f t="shared" si="2"/>
        <v>260000</v>
      </c>
      <c r="F9" s="100">
        <v>10</v>
      </c>
      <c r="G9" s="98">
        <v>20000</v>
      </c>
      <c r="H9" s="99">
        <f t="shared" si="1"/>
        <v>24000</v>
      </c>
      <c r="I9" s="99">
        <f t="shared" si="0"/>
        <v>7000</v>
      </c>
      <c r="J9" s="102"/>
    </row>
    <row r="10" spans="2:10">
      <c r="B10" s="101" t="s">
        <v>104</v>
      </c>
      <c r="C10" s="82">
        <v>1</v>
      </c>
      <c r="D10" s="98">
        <v>75000</v>
      </c>
      <c r="E10" s="99">
        <f t="shared" si="2"/>
        <v>75000</v>
      </c>
      <c r="F10" s="100">
        <v>15</v>
      </c>
      <c r="G10" s="98">
        <v>15000</v>
      </c>
      <c r="H10" s="99">
        <f t="shared" si="1"/>
        <v>4000</v>
      </c>
      <c r="I10" s="99">
        <f t="shared" si="0"/>
        <v>2250</v>
      </c>
      <c r="J10" s="102"/>
    </row>
    <row r="11" spans="2:10">
      <c r="B11" s="101" t="s">
        <v>105</v>
      </c>
      <c r="C11" s="82">
        <v>1</v>
      </c>
      <c r="D11" s="98">
        <v>65000</v>
      </c>
      <c r="E11" s="99">
        <f t="shared" si="2"/>
        <v>65000</v>
      </c>
      <c r="F11" s="100">
        <v>15</v>
      </c>
      <c r="G11" s="98">
        <v>15000</v>
      </c>
      <c r="H11" s="99">
        <f t="shared" si="1"/>
        <v>3333.3333333333335</v>
      </c>
      <c r="I11" s="99">
        <f t="shared" si="0"/>
        <v>2000</v>
      </c>
      <c r="J11" s="102"/>
    </row>
    <row r="12" spans="2:10">
      <c r="B12" s="101" t="s">
        <v>106</v>
      </c>
      <c r="C12" s="82">
        <v>2</v>
      </c>
      <c r="D12" s="98">
        <v>40000</v>
      </c>
      <c r="E12" s="99">
        <f t="shared" si="2"/>
        <v>80000</v>
      </c>
      <c r="F12" s="100">
        <v>10</v>
      </c>
      <c r="G12" s="98">
        <v>10000</v>
      </c>
      <c r="H12" s="99">
        <f t="shared" si="1"/>
        <v>7000</v>
      </c>
      <c r="I12" s="99">
        <f t="shared" si="0"/>
        <v>2250</v>
      </c>
      <c r="J12" s="102"/>
    </row>
    <row r="13" spans="2:10">
      <c r="B13" s="101" t="s">
        <v>107</v>
      </c>
      <c r="C13" s="82">
        <v>2</v>
      </c>
      <c r="D13" s="98">
        <v>125000</v>
      </c>
      <c r="E13" s="99">
        <f t="shared" si="2"/>
        <v>250000</v>
      </c>
      <c r="F13" s="100">
        <v>15</v>
      </c>
      <c r="G13" s="98">
        <v>24000</v>
      </c>
      <c r="H13" s="99">
        <f t="shared" si="1"/>
        <v>15066.666666666666</v>
      </c>
      <c r="I13" s="99">
        <f t="shared" si="0"/>
        <v>6850</v>
      </c>
      <c r="J13" s="102"/>
    </row>
    <row r="14" spans="2:10">
      <c r="B14" s="101" t="s">
        <v>108</v>
      </c>
      <c r="C14" s="82">
        <v>2</v>
      </c>
      <c r="D14" s="98">
        <v>30000</v>
      </c>
      <c r="E14" s="99">
        <f t="shared" si="2"/>
        <v>60000</v>
      </c>
      <c r="F14" s="100">
        <v>15</v>
      </c>
      <c r="G14" s="98">
        <v>10000</v>
      </c>
      <c r="H14" s="99">
        <f t="shared" si="1"/>
        <v>3333.3333333333335</v>
      </c>
      <c r="I14" s="99">
        <f t="shared" si="0"/>
        <v>1750</v>
      </c>
      <c r="J14" s="102"/>
    </row>
    <row r="15" spans="2:10">
      <c r="B15" s="101" t="s">
        <v>109</v>
      </c>
      <c r="C15" s="82">
        <v>2</v>
      </c>
      <c r="D15" s="98">
        <v>10000</v>
      </c>
      <c r="E15" s="99">
        <f t="shared" si="2"/>
        <v>20000</v>
      </c>
      <c r="F15" s="100">
        <v>15</v>
      </c>
      <c r="G15" s="98">
        <v>1000</v>
      </c>
      <c r="H15" s="99">
        <f t="shared" si="1"/>
        <v>1266.6666666666667</v>
      </c>
      <c r="I15" s="99">
        <f t="shared" si="0"/>
        <v>525</v>
      </c>
      <c r="J15" s="102"/>
    </row>
    <row r="16" spans="2:10">
      <c r="B16" s="101" t="s">
        <v>110</v>
      </c>
      <c r="C16" s="82">
        <v>4</v>
      </c>
      <c r="D16" s="98">
        <v>15000</v>
      </c>
      <c r="E16" s="99">
        <f t="shared" si="2"/>
        <v>60000</v>
      </c>
      <c r="F16" s="100">
        <v>20</v>
      </c>
      <c r="G16" s="98">
        <v>4000</v>
      </c>
      <c r="H16" s="99">
        <f t="shared" si="1"/>
        <v>2800</v>
      </c>
      <c r="I16" s="99">
        <f t="shared" si="0"/>
        <v>1600</v>
      </c>
      <c r="J16" s="102"/>
    </row>
    <row r="17" spans="2:13">
      <c r="B17" s="101" t="s">
        <v>111</v>
      </c>
      <c r="C17" s="82">
        <v>1</v>
      </c>
      <c r="D17" s="98">
        <v>15000</v>
      </c>
      <c r="E17" s="99">
        <f t="shared" si="2"/>
        <v>15000</v>
      </c>
      <c r="F17" s="100">
        <v>20</v>
      </c>
      <c r="G17" s="98">
        <v>1500</v>
      </c>
      <c r="H17" s="99">
        <f t="shared" si="1"/>
        <v>675</v>
      </c>
      <c r="I17" s="99">
        <f t="shared" si="0"/>
        <v>412.5</v>
      </c>
      <c r="J17" s="102"/>
    </row>
    <row r="18" spans="2:13">
      <c r="B18" s="101" t="s">
        <v>112</v>
      </c>
      <c r="C18" s="82">
        <v>1</v>
      </c>
      <c r="D18" s="98">
        <v>12000</v>
      </c>
      <c r="E18" s="99">
        <f t="shared" si="2"/>
        <v>12000</v>
      </c>
      <c r="F18" s="100">
        <v>15</v>
      </c>
      <c r="G18" s="98">
        <v>1500</v>
      </c>
      <c r="H18" s="99">
        <f t="shared" si="1"/>
        <v>700</v>
      </c>
      <c r="I18" s="99">
        <f t="shared" si="0"/>
        <v>337.5</v>
      </c>
      <c r="J18" s="102"/>
    </row>
    <row r="19" spans="2:13">
      <c r="B19" s="101" t="s">
        <v>113</v>
      </c>
      <c r="C19" s="82">
        <v>4</v>
      </c>
      <c r="D19" s="98">
        <v>30000</v>
      </c>
      <c r="E19" s="99">
        <f t="shared" si="2"/>
        <v>120000</v>
      </c>
      <c r="F19" s="100">
        <v>7</v>
      </c>
      <c r="G19" s="98">
        <v>16000</v>
      </c>
      <c r="H19" s="99">
        <f t="shared" si="1"/>
        <v>14857.142857142857</v>
      </c>
      <c r="I19" s="99">
        <f t="shared" si="0"/>
        <v>3400</v>
      </c>
      <c r="J19" s="102"/>
    </row>
    <row r="20" spans="2:13">
      <c r="B20" s="101" t="s">
        <v>114</v>
      </c>
      <c r="C20" s="82">
        <v>2</v>
      </c>
      <c r="D20" s="98">
        <v>10000</v>
      </c>
      <c r="E20" s="99">
        <f t="shared" si="2"/>
        <v>20000</v>
      </c>
      <c r="F20" s="100">
        <v>15</v>
      </c>
      <c r="G20" s="98">
        <v>1000</v>
      </c>
      <c r="H20" s="99">
        <f t="shared" si="1"/>
        <v>1266.6666666666667</v>
      </c>
      <c r="I20" s="99">
        <f t="shared" si="0"/>
        <v>525</v>
      </c>
      <c r="J20" s="102"/>
    </row>
    <row r="21" spans="2:13">
      <c r="B21" s="101" t="s">
        <v>115</v>
      </c>
      <c r="C21" s="82">
        <v>2</v>
      </c>
      <c r="D21" s="98">
        <v>25000</v>
      </c>
      <c r="E21" s="99">
        <f t="shared" si="2"/>
        <v>50000</v>
      </c>
      <c r="F21" s="100">
        <v>10</v>
      </c>
      <c r="G21" s="98">
        <v>1000</v>
      </c>
      <c r="H21" s="99">
        <f t="shared" si="1"/>
        <v>4900</v>
      </c>
      <c r="I21" s="99">
        <f t="shared" si="0"/>
        <v>1275</v>
      </c>
      <c r="J21" s="102"/>
    </row>
    <row r="22" spans="2:13">
      <c r="B22" s="101" t="s">
        <v>116</v>
      </c>
      <c r="C22" s="82">
        <v>1</v>
      </c>
      <c r="D22" s="98">
        <v>5000</v>
      </c>
      <c r="E22" s="99">
        <f t="shared" si="2"/>
        <v>5000</v>
      </c>
      <c r="F22" s="100">
        <v>20</v>
      </c>
      <c r="G22" s="98">
        <v>500</v>
      </c>
      <c r="H22" s="99">
        <f t="shared" si="1"/>
        <v>225</v>
      </c>
      <c r="I22" s="99">
        <f t="shared" si="0"/>
        <v>137.5</v>
      </c>
      <c r="J22" s="102"/>
    </row>
    <row r="23" spans="2:13" ht="14">
      <c r="B23" s="101" t="s">
        <v>223</v>
      </c>
      <c r="C23" s="211">
        <v>1</v>
      </c>
      <c r="D23" s="98">
        <v>2800000</v>
      </c>
      <c r="E23" s="99">
        <f t="shared" si="2"/>
        <v>2800000</v>
      </c>
      <c r="F23" s="100">
        <v>30</v>
      </c>
      <c r="G23" s="98">
        <f>D23*0.21</f>
        <v>588000</v>
      </c>
      <c r="H23" s="99">
        <f t="shared" si="1"/>
        <v>73733.333333333328</v>
      </c>
      <c r="I23" s="99">
        <f t="shared" si="0"/>
        <v>84700</v>
      </c>
      <c r="J23" s="206"/>
      <c r="K23" s="207"/>
      <c r="L23" s="92"/>
      <c r="M23" s="208"/>
    </row>
    <row r="24" spans="2:13">
      <c r="B24" s="101" t="s">
        <v>222</v>
      </c>
      <c r="C24" s="211">
        <v>1</v>
      </c>
      <c r="D24" s="98">
        <v>2800000</v>
      </c>
      <c r="E24" s="99">
        <f t="shared" si="2"/>
        <v>2800000</v>
      </c>
      <c r="F24" s="100">
        <v>30</v>
      </c>
      <c r="G24" s="98">
        <f>D24*0.04</f>
        <v>112000</v>
      </c>
      <c r="H24" s="99">
        <f t="shared" si="1"/>
        <v>89600</v>
      </c>
      <c r="I24" s="99">
        <f t="shared" si="0"/>
        <v>72800</v>
      </c>
      <c r="J24" s="206"/>
      <c r="K24" s="207"/>
      <c r="L24" s="92"/>
      <c r="M24" s="208"/>
    </row>
    <row r="25" spans="2:13">
      <c r="B25" s="101" t="s">
        <v>196</v>
      </c>
      <c r="C25" s="211">
        <v>1</v>
      </c>
      <c r="D25" s="98">
        <v>850000</v>
      </c>
      <c r="E25" s="99">
        <f t="shared" si="2"/>
        <v>850000</v>
      </c>
      <c r="F25" s="100">
        <v>30</v>
      </c>
      <c r="G25" s="98">
        <f>D25*0.04</f>
        <v>34000</v>
      </c>
      <c r="H25" s="99">
        <f t="shared" ref="H25" si="3">(E25-G25)/F25</f>
        <v>27200</v>
      </c>
      <c r="I25" s="99">
        <f t="shared" si="0"/>
        <v>22100</v>
      </c>
      <c r="J25" s="206"/>
      <c r="K25" s="207"/>
      <c r="L25" s="92"/>
      <c r="M25" s="208"/>
    </row>
    <row r="26" spans="2:13">
      <c r="B26" s="101" t="s">
        <v>117</v>
      </c>
      <c r="C26" s="82">
        <v>1</v>
      </c>
      <c r="D26" s="98">
        <v>35000</v>
      </c>
      <c r="E26" s="99">
        <f t="shared" si="2"/>
        <v>35000</v>
      </c>
      <c r="F26" s="100">
        <v>10</v>
      </c>
      <c r="G26" s="98">
        <v>500</v>
      </c>
      <c r="H26" s="99">
        <f t="shared" si="1"/>
        <v>3450</v>
      </c>
      <c r="I26" s="99">
        <f t="shared" si="0"/>
        <v>887.5</v>
      </c>
      <c r="J26" s="102"/>
    </row>
    <row r="27" spans="2:13">
      <c r="B27" s="101" t="s">
        <v>118</v>
      </c>
      <c r="C27" s="82">
        <v>2</v>
      </c>
      <c r="D27" s="98">
        <v>25000</v>
      </c>
      <c r="E27" s="99">
        <f t="shared" si="2"/>
        <v>50000</v>
      </c>
      <c r="F27" s="100">
        <v>10</v>
      </c>
      <c r="G27" s="98">
        <v>1000</v>
      </c>
      <c r="H27" s="99">
        <f t="shared" si="1"/>
        <v>4900</v>
      </c>
      <c r="I27" s="99">
        <f t="shared" si="0"/>
        <v>1275</v>
      </c>
      <c r="J27" s="102"/>
    </row>
    <row r="28" spans="2:13">
      <c r="B28" s="101" t="s">
        <v>119</v>
      </c>
      <c r="C28" s="82">
        <v>2</v>
      </c>
      <c r="D28" s="98">
        <v>20000</v>
      </c>
      <c r="E28" s="99">
        <f t="shared" si="2"/>
        <v>40000</v>
      </c>
      <c r="F28" s="100">
        <v>10</v>
      </c>
      <c r="G28" s="98">
        <v>1000</v>
      </c>
      <c r="H28" s="99">
        <f t="shared" si="1"/>
        <v>3900</v>
      </c>
      <c r="I28" s="99">
        <f t="shared" si="0"/>
        <v>1025</v>
      </c>
      <c r="J28" s="102"/>
    </row>
    <row r="29" spans="2:13">
      <c r="B29" s="101" t="s">
        <v>120</v>
      </c>
      <c r="C29" s="82">
        <v>2</v>
      </c>
      <c r="D29" s="98">
        <v>5000</v>
      </c>
      <c r="E29" s="99">
        <f t="shared" si="2"/>
        <v>10000</v>
      </c>
      <c r="F29" s="100">
        <v>10</v>
      </c>
      <c r="G29" s="98">
        <v>2500</v>
      </c>
      <c r="H29" s="99">
        <f t="shared" si="1"/>
        <v>750</v>
      </c>
      <c r="I29" s="99">
        <f t="shared" si="0"/>
        <v>312.5</v>
      </c>
      <c r="J29" s="102"/>
    </row>
    <row r="30" spans="2:13">
      <c r="B30" s="101" t="s">
        <v>121</v>
      </c>
      <c r="C30" s="82">
        <v>1</v>
      </c>
      <c r="D30" s="98">
        <v>20000</v>
      </c>
      <c r="E30" s="99">
        <f t="shared" si="2"/>
        <v>20000</v>
      </c>
      <c r="F30" s="100">
        <v>10</v>
      </c>
      <c r="G30" s="98">
        <v>500</v>
      </c>
      <c r="H30" s="99">
        <f t="shared" si="1"/>
        <v>1950</v>
      </c>
      <c r="I30" s="99">
        <f t="shared" si="0"/>
        <v>512.5</v>
      </c>
      <c r="J30" s="102"/>
    </row>
    <row r="31" spans="2:13">
      <c r="B31" s="101" t="s">
        <v>122</v>
      </c>
      <c r="C31" s="82">
        <v>2</v>
      </c>
      <c r="D31" s="98">
        <v>45000</v>
      </c>
      <c r="E31" s="99">
        <f t="shared" si="2"/>
        <v>90000</v>
      </c>
      <c r="F31" s="100">
        <v>15</v>
      </c>
      <c r="G31" s="98">
        <v>3000</v>
      </c>
      <c r="H31" s="99">
        <f t="shared" si="1"/>
        <v>5800</v>
      </c>
      <c r="I31" s="99">
        <f t="shared" si="0"/>
        <v>2325</v>
      </c>
      <c r="J31" s="102"/>
    </row>
    <row r="32" spans="2:13">
      <c r="B32" s="101" t="s">
        <v>123</v>
      </c>
      <c r="C32" s="82">
        <v>1</v>
      </c>
      <c r="D32" s="98">
        <v>25000</v>
      </c>
      <c r="E32" s="99">
        <f t="shared" si="2"/>
        <v>25000</v>
      </c>
      <c r="F32" s="100">
        <v>15</v>
      </c>
      <c r="G32" s="98">
        <v>750</v>
      </c>
      <c r="H32" s="99">
        <f t="shared" si="1"/>
        <v>1616.6666666666667</v>
      </c>
      <c r="I32" s="99">
        <f t="shared" si="0"/>
        <v>643.75</v>
      </c>
    </row>
    <row r="33" spans="2:11">
      <c r="B33" s="101" t="s">
        <v>124</v>
      </c>
      <c r="C33" s="82">
        <v>1</v>
      </c>
      <c r="D33" s="98">
        <v>15000</v>
      </c>
      <c r="E33" s="99">
        <f t="shared" si="2"/>
        <v>15000</v>
      </c>
      <c r="F33" s="100">
        <v>15</v>
      </c>
      <c r="G33" s="98">
        <v>450</v>
      </c>
      <c r="H33" s="99">
        <f t="shared" si="1"/>
        <v>970</v>
      </c>
      <c r="I33" s="99">
        <f t="shared" si="0"/>
        <v>386.25</v>
      </c>
    </row>
    <row r="34" spans="2:11" ht="15.5" customHeight="1">
      <c r="B34" s="101" t="s">
        <v>136</v>
      </c>
      <c r="C34" s="82">
        <v>10</v>
      </c>
      <c r="D34" s="98">
        <v>15000</v>
      </c>
      <c r="E34" s="99">
        <f t="shared" si="2"/>
        <v>150000</v>
      </c>
      <c r="F34" s="100">
        <v>15</v>
      </c>
      <c r="G34" s="98">
        <v>4500</v>
      </c>
      <c r="H34" s="99">
        <f t="shared" si="1"/>
        <v>9700</v>
      </c>
      <c r="I34" s="99">
        <f t="shared" si="0"/>
        <v>3862.5</v>
      </c>
    </row>
    <row r="35" spans="2:11">
      <c r="B35" s="101" t="s">
        <v>125</v>
      </c>
      <c r="C35" s="82">
        <v>1</v>
      </c>
      <c r="D35" s="98">
        <v>50000</v>
      </c>
      <c r="E35" s="99">
        <f t="shared" si="2"/>
        <v>50000</v>
      </c>
      <c r="F35" s="100">
        <v>30</v>
      </c>
      <c r="G35" s="98">
        <v>0</v>
      </c>
      <c r="H35" s="99">
        <f t="shared" si="1"/>
        <v>1666.6666666666667</v>
      </c>
      <c r="I35" s="99">
        <f t="shared" si="0"/>
        <v>1250</v>
      </c>
    </row>
    <row r="36" spans="2:11">
      <c r="B36" s="101" t="s">
        <v>126</v>
      </c>
      <c r="C36" s="82">
        <v>1</v>
      </c>
      <c r="D36" s="98">
        <v>20000</v>
      </c>
      <c r="E36" s="99">
        <f t="shared" si="2"/>
        <v>20000</v>
      </c>
      <c r="F36" s="100">
        <v>30</v>
      </c>
      <c r="G36" s="98">
        <v>0</v>
      </c>
      <c r="H36" s="99">
        <f t="shared" si="1"/>
        <v>666.66666666666663</v>
      </c>
      <c r="I36" s="99">
        <f t="shared" si="0"/>
        <v>500</v>
      </c>
    </row>
    <row r="37" spans="2:11">
      <c r="B37" s="101"/>
      <c r="C37" s="82"/>
      <c r="D37" s="98"/>
      <c r="E37" s="99"/>
      <c r="F37" s="100"/>
      <c r="G37" s="98"/>
      <c r="H37" s="99"/>
      <c r="I37" s="99"/>
    </row>
    <row r="38" spans="2:11">
      <c r="B38" s="101" t="s">
        <v>130</v>
      </c>
      <c r="C38" s="82">
        <v>1</v>
      </c>
      <c r="D38" s="98">
        <f>4150*C43</f>
        <v>2739000</v>
      </c>
      <c r="E38" s="99">
        <f t="shared" si="2"/>
        <v>2739000</v>
      </c>
      <c r="F38" s="100">
        <v>30</v>
      </c>
      <c r="G38" s="98">
        <v>0</v>
      </c>
      <c r="H38" s="99">
        <f t="shared" si="1"/>
        <v>91300</v>
      </c>
      <c r="I38" s="99">
        <f>((E38+G38)/2)*$C$42</f>
        <v>68475</v>
      </c>
    </row>
    <row r="39" spans="2:11" s="20" customFormat="1">
      <c r="B39" s="103"/>
      <c r="C39" s="104"/>
      <c r="D39" s="100"/>
      <c r="E39" s="100"/>
      <c r="F39" s="100"/>
      <c r="G39" s="98"/>
      <c r="H39" s="99"/>
      <c r="I39" s="99"/>
    </row>
    <row r="40" spans="2:11">
      <c r="B40" s="105" t="s">
        <v>127</v>
      </c>
      <c r="C40" s="106"/>
      <c r="D40" s="107"/>
      <c r="E40" s="108">
        <f>SUM(E7:E36)</f>
        <v>8527000</v>
      </c>
      <c r="F40" s="109"/>
      <c r="G40" s="110"/>
      <c r="H40" s="111">
        <f>SUM(H7:H38)</f>
        <v>442627.1428571429</v>
      </c>
      <c r="I40" s="111">
        <f>SUM(I7:I38)</f>
        <v>304867.5</v>
      </c>
    </row>
    <row r="41" spans="2:11">
      <c r="B41" s="112" t="s">
        <v>144</v>
      </c>
      <c r="C41" s="113"/>
      <c r="D41" s="114"/>
      <c r="E41" s="114"/>
      <c r="F41" s="115"/>
      <c r="G41" s="116"/>
      <c r="H41" s="117">
        <f>H40/C43</f>
        <v>670.64718614718618</v>
      </c>
      <c r="I41" s="117">
        <f>I40/C43</f>
        <v>461.92045454545456</v>
      </c>
    </row>
    <row r="42" spans="2:11">
      <c r="B42" s="103" t="s">
        <v>128</v>
      </c>
      <c r="C42" s="209">
        <v>0.05</v>
      </c>
      <c r="D42" s="100"/>
      <c r="E42" s="100"/>
      <c r="F42" s="118"/>
      <c r="G42" s="118"/>
      <c r="H42" s="100"/>
      <c r="I42" s="100"/>
    </row>
    <row r="43" spans="2:11">
      <c r="B43" s="119" t="s">
        <v>129</v>
      </c>
      <c r="C43" s="210">
        <v>660</v>
      </c>
      <c r="D43" s="120"/>
      <c r="E43" s="120"/>
      <c r="F43" s="121"/>
      <c r="G43" s="121"/>
      <c r="H43" s="120"/>
      <c r="I43" s="120"/>
    </row>
    <row r="44" spans="2:11" ht="14.25" customHeight="1">
      <c r="B44" s="256" t="s">
        <v>224</v>
      </c>
      <c r="C44" s="256"/>
      <c r="D44" s="256"/>
      <c r="E44" s="256"/>
      <c r="F44" s="256"/>
      <c r="G44" s="256"/>
      <c r="H44" s="222"/>
      <c r="I44" s="222"/>
      <c r="K44" s="20"/>
    </row>
    <row r="45" spans="2:11" ht="12" customHeight="1">
      <c r="B45" s="91" t="s">
        <v>227</v>
      </c>
      <c r="C45" s="223"/>
      <c r="D45" s="78"/>
      <c r="E45" s="78"/>
      <c r="F45" s="78"/>
      <c r="G45" s="78"/>
      <c r="H45" s="78"/>
      <c r="I45" s="78"/>
      <c r="K45" s="20"/>
    </row>
    <row r="46" spans="2:11" ht="33" customHeight="1">
      <c r="B46" s="253" t="s">
        <v>228</v>
      </c>
      <c r="C46" s="253"/>
      <c r="D46" s="253"/>
      <c r="E46" s="253"/>
      <c r="F46" s="253"/>
      <c r="G46" s="253"/>
      <c r="H46" s="253"/>
      <c r="I46" s="253"/>
    </row>
    <row r="49" spans="5:5">
      <c r="E49" s="102"/>
    </row>
  </sheetData>
  <sheetProtection sheet="1" objects="1" scenarios="1"/>
  <protectedRanges>
    <protectedRange sqref="A1:XFD2 A3:D43 F3:G43 A44:XFD49" name="Range1"/>
  </protectedRanges>
  <mergeCells count="11">
    <mergeCell ref="B46:I46"/>
    <mergeCell ref="H3:H4"/>
    <mergeCell ref="I3:I4"/>
    <mergeCell ref="B44:G44"/>
    <mergeCell ref="B2:I2"/>
    <mergeCell ref="B3:B4"/>
    <mergeCell ref="D3:D4"/>
    <mergeCell ref="F3:F4"/>
    <mergeCell ref="G3:G4"/>
    <mergeCell ref="C3:C4"/>
    <mergeCell ref="E3:E4"/>
  </mergeCells>
  <pageMargins left="0.7" right="0.7" top="0.75" bottom="0.75" header="0.3" footer="0.3"/>
  <pageSetup orientation="portrait" horizontalDpi="1200" verticalDpi="120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0"/>
  <sheetViews>
    <sheetView workbookViewId="0">
      <selection activeCell="B18" sqref="B18"/>
    </sheetView>
  </sheetViews>
  <sheetFormatPr baseColWidth="10" defaultColWidth="9.1640625" defaultRowHeight="13" x14ac:dyDescent="0"/>
  <cols>
    <col min="1" max="1" width="6.6640625" style="4" customWidth="1"/>
    <col min="2" max="2" width="34" style="4" customWidth="1"/>
    <col min="3" max="3" width="13.6640625" style="4" customWidth="1"/>
    <col min="4" max="4" width="15" style="4" customWidth="1"/>
    <col min="5" max="5" width="17.5" style="4" customWidth="1"/>
    <col min="6" max="6" width="3.83203125" style="4" customWidth="1"/>
    <col min="7" max="16384" width="9.1640625" style="4"/>
  </cols>
  <sheetData>
    <row r="2" spans="1:7" ht="37.5" customHeight="1">
      <c r="B2" s="260" t="s">
        <v>193</v>
      </c>
      <c r="C2" s="260"/>
      <c r="D2" s="260"/>
      <c r="E2" s="260"/>
    </row>
    <row r="3" spans="1:7" ht="18" customHeight="1">
      <c r="A3" s="122"/>
      <c r="B3" s="123"/>
      <c r="C3" s="261" t="s">
        <v>165</v>
      </c>
      <c r="D3" s="261"/>
      <c r="E3" s="262" t="s">
        <v>229</v>
      </c>
    </row>
    <row r="4" spans="1:7">
      <c r="A4" s="122"/>
      <c r="B4" s="124"/>
      <c r="C4" s="125" t="s">
        <v>173</v>
      </c>
      <c r="D4" s="125" t="s">
        <v>145</v>
      </c>
      <c r="E4" s="263"/>
      <c r="G4" s="126"/>
    </row>
    <row r="5" spans="1:7">
      <c r="A5" s="122"/>
      <c r="B5" s="127" t="s">
        <v>166</v>
      </c>
      <c r="C5" s="128"/>
      <c r="D5" s="128"/>
      <c r="E5" s="128"/>
    </row>
    <row r="6" spans="1:7">
      <c r="B6" s="129" t="s">
        <v>171</v>
      </c>
      <c r="C6" s="130">
        <f>15000*660</f>
        <v>9900000</v>
      </c>
      <c r="D6" s="130"/>
    </row>
    <row r="7" spans="1:7">
      <c r="B7" s="129" t="s">
        <v>172</v>
      </c>
      <c r="C7" s="130"/>
      <c r="D7" s="130">
        <f>'App1. Machinery Etc'!E40-'App1. Machinery Etc'!E38</f>
        <v>5788000</v>
      </c>
    </row>
    <row r="8" spans="1:7">
      <c r="B8" s="129" t="s">
        <v>167</v>
      </c>
      <c r="C8" s="130"/>
      <c r="D8" s="130">
        <f>'App1. Machinery Etc'!E38</f>
        <v>2739000</v>
      </c>
    </row>
    <row r="9" spans="1:7" ht="14">
      <c r="B9" s="129" t="s">
        <v>230</v>
      </c>
      <c r="C9" s="130">
        <f>Establishment!C27*600</f>
        <v>4926690</v>
      </c>
      <c r="D9" s="130">
        <f>('Hop Production'!D17+'Hop Production'!D22+'Hop Production'!D23+'Hop Production'!D25+'Hop Production'!D26+'Hop Production'!D27+'Hop Production'!D28)*600</f>
        <v>3800183.25</v>
      </c>
      <c r="E9" s="130">
        <f>('Hop Production'!E17+'Hop Production'!E22+'Hop Production'!E23+'Hop Production'!E25+'Hop Production'!E26+'Hop Production'!E27+'Hop Production'!E28)*600</f>
        <v>3977670</v>
      </c>
    </row>
    <row r="10" spans="1:7">
      <c r="B10" s="131" t="s">
        <v>168</v>
      </c>
      <c r="C10" s="132">
        <f>SUM(C6:C9)</f>
        <v>14826690</v>
      </c>
      <c r="D10" s="132">
        <f>SUM(D6:D9)</f>
        <v>12327183.25</v>
      </c>
      <c r="E10" s="132">
        <f>SUM(E6:E9)</f>
        <v>3977670</v>
      </c>
    </row>
    <row r="11" spans="1:7">
      <c r="D11" s="132"/>
      <c r="E11" s="132"/>
    </row>
    <row r="12" spans="1:7">
      <c r="B12" s="131" t="s">
        <v>169</v>
      </c>
      <c r="C12" s="132">
        <v>0</v>
      </c>
      <c r="D12" s="132">
        <f>'Hop Production'!D40*600</f>
        <v>5366400</v>
      </c>
      <c r="E12" s="132">
        <f>'Hop Production'!E40*600</f>
        <v>6708000</v>
      </c>
    </row>
    <row r="13" spans="1:7">
      <c r="D13" s="132"/>
      <c r="E13" s="132"/>
    </row>
    <row r="14" spans="1:7">
      <c r="B14" s="133" t="s">
        <v>170</v>
      </c>
      <c r="C14" s="134">
        <f>C10-C12</f>
        <v>14826690</v>
      </c>
      <c r="D14" s="134">
        <f>D10-D12</f>
        <v>6960783.25</v>
      </c>
      <c r="E14" s="134">
        <f>E10-E12</f>
        <v>-2730330</v>
      </c>
    </row>
    <row r="15" spans="1:7">
      <c r="B15" s="135" t="s">
        <v>89</v>
      </c>
    </row>
    <row r="16" spans="1:7">
      <c r="B16" s="91" t="s">
        <v>231</v>
      </c>
    </row>
    <row r="17" spans="2:6">
      <c r="B17" s="91" t="s">
        <v>232</v>
      </c>
    </row>
    <row r="18" spans="2:6">
      <c r="B18" s="136"/>
    </row>
    <row r="19" spans="2:6" ht="13.25" customHeight="1">
      <c r="B19" s="136"/>
      <c r="E19" s="137"/>
    </row>
    <row r="20" spans="2:6">
      <c r="C20" s="130"/>
      <c r="D20" s="130"/>
    </row>
    <row r="21" spans="2:6">
      <c r="C21" s="138"/>
      <c r="D21" s="130"/>
      <c r="E21" s="139"/>
    </row>
    <row r="22" spans="2:6">
      <c r="D22" s="140"/>
      <c r="E22" s="139"/>
    </row>
    <row r="23" spans="2:6" s="143" customFormat="1">
      <c r="B23" s="141"/>
      <c r="C23" s="130"/>
      <c r="D23" s="142"/>
      <c r="E23" s="142"/>
    </row>
    <row r="24" spans="2:6">
      <c r="E24" s="139"/>
      <c r="F24" s="144"/>
    </row>
    <row r="25" spans="2:6">
      <c r="E25" s="139"/>
    </row>
    <row r="26" spans="2:6">
      <c r="E26" s="139"/>
    </row>
    <row r="27" spans="2:6">
      <c r="E27" s="139"/>
    </row>
    <row r="28" spans="2:6">
      <c r="E28" s="139"/>
    </row>
    <row r="29" spans="2:6">
      <c r="E29" s="145"/>
    </row>
    <row r="30" spans="2:6">
      <c r="E30" s="145"/>
    </row>
  </sheetData>
  <sheetProtection sheet="1" objects="1" scenarios="1"/>
  <mergeCells count="3">
    <mergeCell ref="B2:E2"/>
    <mergeCell ref="C3:D3"/>
    <mergeCell ref="E3:E4"/>
  </mergeCell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5" sqref="C5"/>
    </sheetView>
  </sheetViews>
  <sheetFormatPr baseColWidth="10" defaultColWidth="8.83203125" defaultRowHeight="13" x14ac:dyDescent="0"/>
  <cols>
    <col min="1" max="1" width="7.6640625" style="147" customWidth="1"/>
    <col min="2" max="2" width="29.6640625" style="147" customWidth="1"/>
    <col min="3" max="3" width="12.83203125" style="147" customWidth="1"/>
    <col min="4" max="4" width="5" style="147" customWidth="1"/>
    <col min="5" max="5" width="5.1640625" style="147" customWidth="1"/>
    <col min="6" max="6" width="28.83203125" style="147" customWidth="1"/>
    <col min="7" max="7" width="13" style="147" customWidth="1"/>
    <col min="8" max="256" width="8.83203125" style="147"/>
    <col min="257" max="257" width="38.1640625" style="147" customWidth="1"/>
    <col min="258" max="258" width="28.5" style="147" customWidth="1"/>
    <col min="259" max="259" width="12.83203125" style="147" customWidth="1"/>
    <col min="260" max="260" width="5" style="147" customWidth="1"/>
    <col min="261" max="261" width="5.1640625" style="147" customWidth="1"/>
    <col min="262" max="262" width="28.83203125" style="147" customWidth="1"/>
    <col min="263" max="263" width="13" style="147" customWidth="1"/>
    <col min="264" max="512" width="8.83203125" style="147"/>
    <col min="513" max="513" width="38.1640625" style="147" customWidth="1"/>
    <col min="514" max="514" width="28.5" style="147" customWidth="1"/>
    <col min="515" max="515" width="12.83203125" style="147" customWidth="1"/>
    <col min="516" max="516" width="5" style="147" customWidth="1"/>
    <col min="517" max="517" width="5.1640625" style="147" customWidth="1"/>
    <col min="518" max="518" width="28.83203125" style="147" customWidth="1"/>
    <col min="519" max="519" width="13" style="147" customWidth="1"/>
    <col min="520" max="768" width="8.83203125" style="147"/>
    <col min="769" max="769" width="38.1640625" style="147" customWidth="1"/>
    <col min="770" max="770" width="28.5" style="147" customWidth="1"/>
    <col min="771" max="771" width="12.83203125" style="147" customWidth="1"/>
    <col min="772" max="772" width="5" style="147" customWidth="1"/>
    <col min="773" max="773" width="5.1640625" style="147" customWidth="1"/>
    <col min="774" max="774" width="28.83203125" style="147" customWidth="1"/>
    <col min="775" max="775" width="13" style="147" customWidth="1"/>
    <col min="776" max="1024" width="8.83203125" style="147"/>
    <col min="1025" max="1025" width="38.1640625" style="147" customWidth="1"/>
    <col min="1026" max="1026" width="28.5" style="147" customWidth="1"/>
    <col min="1027" max="1027" width="12.83203125" style="147" customWidth="1"/>
    <col min="1028" max="1028" width="5" style="147" customWidth="1"/>
    <col min="1029" max="1029" width="5.1640625" style="147" customWidth="1"/>
    <col min="1030" max="1030" width="28.83203125" style="147" customWidth="1"/>
    <col min="1031" max="1031" width="13" style="147" customWidth="1"/>
    <col min="1032" max="1280" width="8.83203125" style="147"/>
    <col min="1281" max="1281" width="38.1640625" style="147" customWidth="1"/>
    <col min="1282" max="1282" width="28.5" style="147" customWidth="1"/>
    <col min="1283" max="1283" width="12.83203125" style="147" customWidth="1"/>
    <col min="1284" max="1284" width="5" style="147" customWidth="1"/>
    <col min="1285" max="1285" width="5.1640625" style="147" customWidth="1"/>
    <col min="1286" max="1286" width="28.83203125" style="147" customWidth="1"/>
    <col min="1287" max="1287" width="13" style="147" customWidth="1"/>
    <col min="1288" max="1536" width="8.83203125" style="147"/>
    <col min="1537" max="1537" width="38.1640625" style="147" customWidth="1"/>
    <col min="1538" max="1538" width="28.5" style="147" customWidth="1"/>
    <col min="1539" max="1539" width="12.83203125" style="147" customWidth="1"/>
    <col min="1540" max="1540" width="5" style="147" customWidth="1"/>
    <col min="1541" max="1541" width="5.1640625" style="147" customWidth="1"/>
    <col min="1542" max="1542" width="28.83203125" style="147" customWidth="1"/>
    <col min="1543" max="1543" width="13" style="147" customWidth="1"/>
    <col min="1544" max="1792" width="8.83203125" style="147"/>
    <col min="1793" max="1793" width="38.1640625" style="147" customWidth="1"/>
    <col min="1794" max="1794" width="28.5" style="147" customWidth="1"/>
    <col min="1795" max="1795" width="12.83203125" style="147" customWidth="1"/>
    <col min="1796" max="1796" width="5" style="147" customWidth="1"/>
    <col min="1797" max="1797" width="5.1640625" style="147" customWidth="1"/>
    <col min="1798" max="1798" width="28.83203125" style="147" customWidth="1"/>
    <col min="1799" max="1799" width="13" style="147" customWidth="1"/>
    <col min="1800" max="2048" width="8.83203125" style="147"/>
    <col min="2049" max="2049" width="38.1640625" style="147" customWidth="1"/>
    <col min="2050" max="2050" width="28.5" style="147" customWidth="1"/>
    <col min="2051" max="2051" width="12.83203125" style="147" customWidth="1"/>
    <col min="2052" max="2052" width="5" style="147" customWidth="1"/>
    <col min="2053" max="2053" width="5.1640625" style="147" customWidth="1"/>
    <col min="2054" max="2054" width="28.83203125" style="147" customWidth="1"/>
    <col min="2055" max="2055" width="13" style="147" customWidth="1"/>
    <col min="2056" max="2304" width="8.83203125" style="147"/>
    <col min="2305" max="2305" width="38.1640625" style="147" customWidth="1"/>
    <col min="2306" max="2306" width="28.5" style="147" customWidth="1"/>
    <col min="2307" max="2307" width="12.83203125" style="147" customWidth="1"/>
    <col min="2308" max="2308" width="5" style="147" customWidth="1"/>
    <col min="2309" max="2309" width="5.1640625" style="147" customWidth="1"/>
    <col min="2310" max="2310" width="28.83203125" style="147" customWidth="1"/>
    <col min="2311" max="2311" width="13" style="147" customWidth="1"/>
    <col min="2312" max="2560" width="8.83203125" style="147"/>
    <col min="2561" max="2561" width="38.1640625" style="147" customWidth="1"/>
    <col min="2562" max="2562" width="28.5" style="147" customWidth="1"/>
    <col min="2563" max="2563" width="12.83203125" style="147" customWidth="1"/>
    <col min="2564" max="2564" width="5" style="147" customWidth="1"/>
    <col min="2565" max="2565" width="5.1640625" style="147" customWidth="1"/>
    <col min="2566" max="2566" width="28.83203125" style="147" customWidth="1"/>
    <col min="2567" max="2567" width="13" style="147" customWidth="1"/>
    <col min="2568" max="2816" width="8.83203125" style="147"/>
    <col min="2817" max="2817" width="38.1640625" style="147" customWidth="1"/>
    <col min="2818" max="2818" width="28.5" style="147" customWidth="1"/>
    <col min="2819" max="2819" width="12.83203125" style="147" customWidth="1"/>
    <col min="2820" max="2820" width="5" style="147" customWidth="1"/>
    <col min="2821" max="2821" width="5.1640625" style="147" customWidth="1"/>
    <col min="2822" max="2822" width="28.83203125" style="147" customWidth="1"/>
    <col min="2823" max="2823" width="13" style="147" customWidth="1"/>
    <col min="2824" max="3072" width="8.83203125" style="147"/>
    <col min="3073" max="3073" width="38.1640625" style="147" customWidth="1"/>
    <col min="3074" max="3074" width="28.5" style="147" customWidth="1"/>
    <col min="3075" max="3075" width="12.83203125" style="147" customWidth="1"/>
    <col min="3076" max="3076" width="5" style="147" customWidth="1"/>
    <col min="3077" max="3077" width="5.1640625" style="147" customWidth="1"/>
    <col min="3078" max="3078" width="28.83203125" style="147" customWidth="1"/>
    <col min="3079" max="3079" width="13" style="147" customWidth="1"/>
    <col min="3080" max="3328" width="8.83203125" style="147"/>
    <col min="3329" max="3329" width="38.1640625" style="147" customWidth="1"/>
    <col min="3330" max="3330" width="28.5" style="147" customWidth="1"/>
    <col min="3331" max="3331" width="12.83203125" style="147" customWidth="1"/>
    <col min="3332" max="3332" width="5" style="147" customWidth="1"/>
    <col min="3333" max="3333" width="5.1640625" style="147" customWidth="1"/>
    <col min="3334" max="3334" width="28.83203125" style="147" customWidth="1"/>
    <col min="3335" max="3335" width="13" style="147" customWidth="1"/>
    <col min="3336" max="3584" width="8.83203125" style="147"/>
    <col min="3585" max="3585" width="38.1640625" style="147" customWidth="1"/>
    <col min="3586" max="3586" width="28.5" style="147" customWidth="1"/>
    <col min="3587" max="3587" width="12.83203125" style="147" customWidth="1"/>
    <col min="3588" max="3588" width="5" style="147" customWidth="1"/>
    <col min="3589" max="3589" width="5.1640625" style="147" customWidth="1"/>
    <col min="3590" max="3590" width="28.83203125" style="147" customWidth="1"/>
    <col min="3591" max="3591" width="13" style="147" customWidth="1"/>
    <col min="3592" max="3840" width="8.83203125" style="147"/>
    <col min="3841" max="3841" width="38.1640625" style="147" customWidth="1"/>
    <col min="3842" max="3842" width="28.5" style="147" customWidth="1"/>
    <col min="3843" max="3843" width="12.83203125" style="147" customWidth="1"/>
    <col min="3844" max="3844" width="5" style="147" customWidth="1"/>
    <col min="3845" max="3845" width="5.1640625" style="147" customWidth="1"/>
    <col min="3846" max="3846" width="28.83203125" style="147" customWidth="1"/>
    <col min="3847" max="3847" width="13" style="147" customWidth="1"/>
    <col min="3848" max="4096" width="8.83203125" style="147"/>
    <col min="4097" max="4097" width="38.1640625" style="147" customWidth="1"/>
    <col min="4098" max="4098" width="28.5" style="147" customWidth="1"/>
    <col min="4099" max="4099" width="12.83203125" style="147" customWidth="1"/>
    <col min="4100" max="4100" width="5" style="147" customWidth="1"/>
    <col min="4101" max="4101" width="5.1640625" style="147" customWidth="1"/>
    <col min="4102" max="4102" width="28.83203125" style="147" customWidth="1"/>
    <col min="4103" max="4103" width="13" style="147" customWidth="1"/>
    <col min="4104" max="4352" width="8.83203125" style="147"/>
    <col min="4353" max="4353" width="38.1640625" style="147" customWidth="1"/>
    <col min="4354" max="4354" width="28.5" style="147" customWidth="1"/>
    <col min="4355" max="4355" width="12.83203125" style="147" customWidth="1"/>
    <col min="4356" max="4356" width="5" style="147" customWidth="1"/>
    <col min="4357" max="4357" width="5.1640625" style="147" customWidth="1"/>
    <col min="4358" max="4358" width="28.83203125" style="147" customWidth="1"/>
    <col min="4359" max="4359" width="13" style="147" customWidth="1"/>
    <col min="4360" max="4608" width="8.83203125" style="147"/>
    <col min="4609" max="4609" width="38.1640625" style="147" customWidth="1"/>
    <col min="4610" max="4610" width="28.5" style="147" customWidth="1"/>
    <col min="4611" max="4611" width="12.83203125" style="147" customWidth="1"/>
    <col min="4612" max="4612" width="5" style="147" customWidth="1"/>
    <col min="4613" max="4613" width="5.1640625" style="147" customWidth="1"/>
    <col min="4614" max="4614" width="28.83203125" style="147" customWidth="1"/>
    <col min="4615" max="4615" width="13" style="147" customWidth="1"/>
    <col min="4616" max="4864" width="8.83203125" style="147"/>
    <col min="4865" max="4865" width="38.1640625" style="147" customWidth="1"/>
    <col min="4866" max="4866" width="28.5" style="147" customWidth="1"/>
    <col min="4867" max="4867" width="12.83203125" style="147" customWidth="1"/>
    <col min="4868" max="4868" width="5" style="147" customWidth="1"/>
    <col min="4869" max="4869" width="5.1640625" style="147" customWidth="1"/>
    <col min="4870" max="4870" width="28.83203125" style="147" customWidth="1"/>
    <col min="4871" max="4871" width="13" style="147" customWidth="1"/>
    <col min="4872" max="5120" width="8.83203125" style="147"/>
    <col min="5121" max="5121" width="38.1640625" style="147" customWidth="1"/>
    <col min="5122" max="5122" width="28.5" style="147" customWidth="1"/>
    <col min="5123" max="5123" width="12.83203125" style="147" customWidth="1"/>
    <col min="5124" max="5124" width="5" style="147" customWidth="1"/>
    <col min="5125" max="5125" width="5.1640625" style="147" customWidth="1"/>
    <col min="5126" max="5126" width="28.83203125" style="147" customWidth="1"/>
    <col min="5127" max="5127" width="13" style="147" customWidth="1"/>
    <col min="5128" max="5376" width="8.83203125" style="147"/>
    <col min="5377" max="5377" width="38.1640625" style="147" customWidth="1"/>
    <col min="5378" max="5378" width="28.5" style="147" customWidth="1"/>
    <col min="5379" max="5379" width="12.83203125" style="147" customWidth="1"/>
    <col min="5380" max="5380" width="5" style="147" customWidth="1"/>
    <col min="5381" max="5381" width="5.1640625" style="147" customWidth="1"/>
    <col min="5382" max="5382" width="28.83203125" style="147" customWidth="1"/>
    <col min="5383" max="5383" width="13" style="147" customWidth="1"/>
    <col min="5384" max="5632" width="8.83203125" style="147"/>
    <col min="5633" max="5633" width="38.1640625" style="147" customWidth="1"/>
    <col min="5634" max="5634" width="28.5" style="147" customWidth="1"/>
    <col min="5635" max="5635" width="12.83203125" style="147" customWidth="1"/>
    <col min="5636" max="5636" width="5" style="147" customWidth="1"/>
    <col min="5637" max="5637" width="5.1640625" style="147" customWidth="1"/>
    <col min="5638" max="5638" width="28.83203125" style="147" customWidth="1"/>
    <col min="5639" max="5639" width="13" style="147" customWidth="1"/>
    <col min="5640" max="5888" width="8.83203125" style="147"/>
    <col min="5889" max="5889" width="38.1640625" style="147" customWidth="1"/>
    <col min="5890" max="5890" width="28.5" style="147" customWidth="1"/>
    <col min="5891" max="5891" width="12.83203125" style="147" customWidth="1"/>
    <col min="5892" max="5892" width="5" style="147" customWidth="1"/>
    <col min="5893" max="5893" width="5.1640625" style="147" customWidth="1"/>
    <col min="5894" max="5894" width="28.83203125" style="147" customWidth="1"/>
    <col min="5895" max="5895" width="13" style="147" customWidth="1"/>
    <col min="5896" max="6144" width="8.83203125" style="147"/>
    <col min="6145" max="6145" width="38.1640625" style="147" customWidth="1"/>
    <col min="6146" max="6146" width="28.5" style="147" customWidth="1"/>
    <col min="6147" max="6147" width="12.83203125" style="147" customWidth="1"/>
    <col min="6148" max="6148" width="5" style="147" customWidth="1"/>
    <col min="6149" max="6149" width="5.1640625" style="147" customWidth="1"/>
    <col min="6150" max="6150" width="28.83203125" style="147" customWidth="1"/>
    <col min="6151" max="6151" width="13" style="147" customWidth="1"/>
    <col min="6152" max="6400" width="8.83203125" style="147"/>
    <col min="6401" max="6401" width="38.1640625" style="147" customWidth="1"/>
    <col min="6402" max="6402" width="28.5" style="147" customWidth="1"/>
    <col min="6403" max="6403" width="12.83203125" style="147" customWidth="1"/>
    <col min="6404" max="6404" width="5" style="147" customWidth="1"/>
    <col min="6405" max="6405" width="5.1640625" style="147" customWidth="1"/>
    <col min="6406" max="6406" width="28.83203125" style="147" customWidth="1"/>
    <col min="6407" max="6407" width="13" style="147" customWidth="1"/>
    <col min="6408" max="6656" width="8.83203125" style="147"/>
    <col min="6657" max="6657" width="38.1640625" style="147" customWidth="1"/>
    <col min="6658" max="6658" width="28.5" style="147" customWidth="1"/>
    <col min="6659" max="6659" width="12.83203125" style="147" customWidth="1"/>
    <col min="6660" max="6660" width="5" style="147" customWidth="1"/>
    <col min="6661" max="6661" width="5.1640625" style="147" customWidth="1"/>
    <col min="6662" max="6662" width="28.83203125" style="147" customWidth="1"/>
    <col min="6663" max="6663" width="13" style="147" customWidth="1"/>
    <col min="6664" max="6912" width="8.83203125" style="147"/>
    <col min="6913" max="6913" width="38.1640625" style="147" customWidth="1"/>
    <col min="6914" max="6914" width="28.5" style="147" customWidth="1"/>
    <col min="6915" max="6915" width="12.83203125" style="147" customWidth="1"/>
    <col min="6916" max="6916" width="5" style="147" customWidth="1"/>
    <col min="6917" max="6917" width="5.1640625" style="147" customWidth="1"/>
    <col min="6918" max="6918" width="28.83203125" style="147" customWidth="1"/>
    <col min="6919" max="6919" width="13" style="147" customWidth="1"/>
    <col min="6920" max="7168" width="8.83203125" style="147"/>
    <col min="7169" max="7169" width="38.1640625" style="147" customWidth="1"/>
    <col min="7170" max="7170" width="28.5" style="147" customWidth="1"/>
    <col min="7171" max="7171" width="12.83203125" style="147" customWidth="1"/>
    <col min="7172" max="7172" width="5" style="147" customWidth="1"/>
    <col min="7173" max="7173" width="5.1640625" style="147" customWidth="1"/>
    <col min="7174" max="7174" width="28.83203125" style="147" customWidth="1"/>
    <col min="7175" max="7175" width="13" style="147" customWidth="1"/>
    <col min="7176" max="7424" width="8.83203125" style="147"/>
    <col min="7425" max="7425" width="38.1640625" style="147" customWidth="1"/>
    <col min="7426" max="7426" width="28.5" style="147" customWidth="1"/>
    <col min="7427" max="7427" width="12.83203125" style="147" customWidth="1"/>
    <col min="7428" max="7428" width="5" style="147" customWidth="1"/>
    <col min="7429" max="7429" width="5.1640625" style="147" customWidth="1"/>
    <col min="7430" max="7430" width="28.83203125" style="147" customWidth="1"/>
    <col min="7431" max="7431" width="13" style="147" customWidth="1"/>
    <col min="7432" max="7680" width="8.83203125" style="147"/>
    <col min="7681" max="7681" width="38.1640625" style="147" customWidth="1"/>
    <col min="7682" max="7682" width="28.5" style="147" customWidth="1"/>
    <col min="7683" max="7683" width="12.83203125" style="147" customWidth="1"/>
    <col min="7684" max="7684" width="5" style="147" customWidth="1"/>
    <col min="7685" max="7685" width="5.1640625" style="147" customWidth="1"/>
    <col min="7686" max="7686" width="28.83203125" style="147" customWidth="1"/>
    <col min="7687" max="7687" width="13" style="147" customWidth="1"/>
    <col min="7688" max="7936" width="8.83203125" style="147"/>
    <col min="7937" max="7937" width="38.1640625" style="147" customWidth="1"/>
    <col min="7938" max="7938" width="28.5" style="147" customWidth="1"/>
    <col min="7939" max="7939" width="12.83203125" style="147" customWidth="1"/>
    <col min="7940" max="7940" width="5" style="147" customWidth="1"/>
    <col min="7941" max="7941" width="5.1640625" style="147" customWidth="1"/>
    <col min="7942" max="7942" width="28.83203125" style="147" customWidth="1"/>
    <col min="7943" max="7943" width="13" style="147" customWidth="1"/>
    <col min="7944" max="8192" width="8.83203125" style="147"/>
    <col min="8193" max="8193" width="38.1640625" style="147" customWidth="1"/>
    <col min="8194" max="8194" width="28.5" style="147" customWidth="1"/>
    <col min="8195" max="8195" width="12.83203125" style="147" customWidth="1"/>
    <col min="8196" max="8196" width="5" style="147" customWidth="1"/>
    <col min="8197" max="8197" width="5.1640625" style="147" customWidth="1"/>
    <col min="8198" max="8198" width="28.83203125" style="147" customWidth="1"/>
    <col min="8199" max="8199" width="13" style="147" customWidth="1"/>
    <col min="8200" max="8448" width="8.83203125" style="147"/>
    <col min="8449" max="8449" width="38.1640625" style="147" customWidth="1"/>
    <col min="8450" max="8450" width="28.5" style="147" customWidth="1"/>
    <col min="8451" max="8451" width="12.83203125" style="147" customWidth="1"/>
    <col min="8452" max="8452" width="5" style="147" customWidth="1"/>
    <col min="8453" max="8453" width="5.1640625" style="147" customWidth="1"/>
    <col min="8454" max="8454" width="28.83203125" style="147" customWidth="1"/>
    <col min="8455" max="8455" width="13" style="147" customWidth="1"/>
    <col min="8456" max="8704" width="8.83203125" style="147"/>
    <col min="8705" max="8705" width="38.1640625" style="147" customWidth="1"/>
    <col min="8706" max="8706" width="28.5" style="147" customWidth="1"/>
    <col min="8707" max="8707" width="12.83203125" style="147" customWidth="1"/>
    <col min="8708" max="8708" width="5" style="147" customWidth="1"/>
    <col min="8709" max="8709" width="5.1640625" style="147" customWidth="1"/>
    <col min="8710" max="8710" width="28.83203125" style="147" customWidth="1"/>
    <col min="8711" max="8711" width="13" style="147" customWidth="1"/>
    <col min="8712" max="8960" width="8.83203125" style="147"/>
    <col min="8961" max="8961" width="38.1640625" style="147" customWidth="1"/>
    <col min="8962" max="8962" width="28.5" style="147" customWidth="1"/>
    <col min="8963" max="8963" width="12.83203125" style="147" customWidth="1"/>
    <col min="8964" max="8964" width="5" style="147" customWidth="1"/>
    <col min="8965" max="8965" width="5.1640625" style="147" customWidth="1"/>
    <col min="8966" max="8966" width="28.83203125" style="147" customWidth="1"/>
    <col min="8967" max="8967" width="13" style="147" customWidth="1"/>
    <col min="8968" max="9216" width="8.83203125" style="147"/>
    <col min="9217" max="9217" width="38.1640625" style="147" customWidth="1"/>
    <col min="9218" max="9218" width="28.5" style="147" customWidth="1"/>
    <col min="9219" max="9219" width="12.83203125" style="147" customWidth="1"/>
    <col min="9220" max="9220" width="5" style="147" customWidth="1"/>
    <col min="9221" max="9221" width="5.1640625" style="147" customWidth="1"/>
    <col min="9222" max="9222" width="28.83203125" style="147" customWidth="1"/>
    <col min="9223" max="9223" width="13" style="147" customWidth="1"/>
    <col min="9224" max="9472" width="8.83203125" style="147"/>
    <col min="9473" max="9473" width="38.1640625" style="147" customWidth="1"/>
    <col min="9474" max="9474" width="28.5" style="147" customWidth="1"/>
    <col min="9475" max="9475" width="12.83203125" style="147" customWidth="1"/>
    <col min="9476" max="9476" width="5" style="147" customWidth="1"/>
    <col min="9477" max="9477" width="5.1640625" style="147" customWidth="1"/>
    <col min="9478" max="9478" width="28.83203125" style="147" customWidth="1"/>
    <col min="9479" max="9479" width="13" style="147" customWidth="1"/>
    <col min="9480" max="9728" width="8.83203125" style="147"/>
    <col min="9729" max="9729" width="38.1640625" style="147" customWidth="1"/>
    <col min="9730" max="9730" width="28.5" style="147" customWidth="1"/>
    <col min="9731" max="9731" width="12.83203125" style="147" customWidth="1"/>
    <col min="9732" max="9732" width="5" style="147" customWidth="1"/>
    <col min="9733" max="9733" width="5.1640625" style="147" customWidth="1"/>
    <col min="9734" max="9734" width="28.83203125" style="147" customWidth="1"/>
    <col min="9735" max="9735" width="13" style="147" customWidth="1"/>
    <col min="9736" max="9984" width="8.83203125" style="147"/>
    <col min="9985" max="9985" width="38.1640625" style="147" customWidth="1"/>
    <col min="9986" max="9986" width="28.5" style="147" customWidth="1"/>
    <col min="9987" max="9987" width="12.83203125" style="147" customWidth="1"/>
    <col min="9988" max="9988" width="5" style="147" customWidth="1"/>
    <col min="9989" max="9989" width="5.1640625" style="147" customWidth="1"/>
    <col min="9990" max="9990" width="28.83203125" style="147" customWidth="1"/>
    <col min="9991" max="9991" width="13" style="147" customWidth="1"/>
    <col min="9992" max="10240" width="8.83203125" style="147"/>
    <col min="10241" max="10241" width="38.1640625" style="147" customWidth="1"/>
    <col min="10242" max="10242" width="28.5" style="147" customWidth="1"/>
    <col min="10243" max="10243" width="12.83203125" style="147" customWidth="1"/>
    <col min="10244" max="10244" width="5" style="147" customWidth="1"/>
    <col min="10245" max="10245" width="5.1640625" style="147" customWidth="1"/>
    <col min="10246" max="10246" width="28.83203125" style="147" customWidth="1"/>
    <col min="10247" max="10247" width="13" style="147" customWidth="1"/>
    <col min="10248" max="10496" width="8.83203125" style="147"/>
    <col min="10497" max="10497" width="38.1640625" style="147" customWidth="1"/>
    <col min="10498" max="10498" width="28.5" style="147" customWidth="1"/>
    <col min="10499" max="10499" width="12.83203125" style="147" customWidth="1"/>
    <col min="10500" max="10500" width="5" style="147" customWidth="1"/>
    <col min="10501" max="10501" width="5.1640625" style="147" customWidth="1"/>
    <col min="10502" max="10502" width="28.83203125" style="147" customWidth="1"/>
    <col min="10503" max="10503" width="13" style="147" customWidth="1"/>
    <col min="10504" max="10752" width="8.83203125" style="147"/>
    <col min="10753" max="10753" width="38.1640625" style="147" customWidth="1"/>
    <col min="10754" max="10754" width="28.5" style="147" customWidth="1"/>
    <col min="10755" max="10755" width="12.83203125" style="147" customWidth="1"/>
    <col min="10756" max="10756" width="5" style="147" customWidth="1"/>
    <col min="10757" max="10757" width="5.1640625" style="147" customWidth="1"/>
    <col min="10758" max="10758" width="28.83203125" style="147" customWidth="1"/>
    <col min="10759" max="10759" width="13" style="147" customWidth="1"/>
    <col min="10760" max="11008" width="8.83203125" style="147"/>
    <col min="11009" max="11009" width="38.1640625" style="147" customWidth="1"/>
    <col min="11010" max="11010" width="28.5" style="147" customWidth="1"/>
    <col min="11011" max="11011" width="12.83203125" style="147" customWidth="1"/>
    <col min="11012" max="11012" width="5" style="147" customWidth="1"/>
    <col min="11013" max="11013" width="5.1640625" style="147" customWidth="1"/>
    <col min="11014" max="11014" width="28.83203125" style="147" customWidth="1"/>
    <col min="11015" max="11015" width="13" style="147" customWidth="1"/>
    <col min="11016" max="11264" width="8.83203125" style="147"/>
    <col min="11265" max="11265" width="38.1640625" style="147" customWidth="1"/>
    <col min="11266" max="11266" width="28.5" style="147" customWidth="1"/>
    <col min="11267" max="11267" width="12.83203125" style="147" customWidth="1"/>
    <col min="11268" max="11268" width="5" style="147" customWidth="1"/>
    <col min="11269" max="11269" width="5.1640625" style="147" customWidth="1"/>
    <col min="11270" max="11270" width="28.83203125" style="147" customWidth="1"/>
    <col min="11271" max="11271" width="13" style="147" customWidth="1"/>
    <col min="11272" max="11520" width="8.83203125" style="147"/>
    <col min="11521" max="11521" width="38.1640625" style="147" customWidth="1"/>
    <col min="11522" max="11522" width="28.5" style="147" customWidth="1"/>
    <col min="11523" max="11523" width="12.83203125" style="147" customWidth="1"/>
    <col min="11524" max="11524" width="5" style="147" customWidth="1"/>
    <col min="11525" max="11525" width="5.1640625" style="147" customWidth="1"/>
    <col min="11526" max="11526" width="28.83203125" style="147" customWidth="1"/>
    <col min="11527" max="11527" width="13" style="147" customWidth="1"/>
    <col min="11528" max="11776" width="8.83203125" style="147"/>
    <col min="11777" max="11777" width="38.1640625" style="147" customWidth="1"/>
    <col min="11778" max="11778" width="28.5" style="147" customWidth="1"/>
    <col min="11779" max="11779" width="12.83203125" style="147" customWidth="1"/>
    <col min="11780" max="11780" width="5" style="147" customWidth="1"/>
    <col min="11781" max="11781" width="5.1640625" style="147" customWidth="1"/>
    <col min="11782" max="11782" width="28.83203125" style="147" customWidth="1"/>
    <col min="11783" max="11783" width="13" style="147" customWidth="1"/>
    <col min="11784" max="12032" width="8.83203125" style="147"/>
    <col min="12033" max="12033" width="38.1640625" style="147" customWidth="1"/>
    <col min="12034" max="12034" width="28.5" style="147" customWidth="1"/>
    <col min="12035" max="12035" width="12.83203125" style="147" customWidth="1"/>
    <col min="12036" max="12036" width="5" style="147" customWidth="1"/>
    <col min="12037" max="12037" width="5.1640625" style="147" customWidth="1"/>
    <col min="12038" max="12038" width="28.83203125" style="147" customWidth="1"/>
    <col min="12039" max="12039" width="13" style="147" customWidth="1"/>
    <col min="12040" max="12288" width="8.83203125" style="147"/>
    <col min="12289" max="12289" width="38.1640625" style="147" customWidth="1"/>
    <col min="12290" max="12290" width="28.5" style="147" customWidth="1"/>
    <col min="12291" max="12291" width="12.83203125" style="147" customWidth="1"/>
    <col min="12292" max="12292" width="5" style="147" customWidth="1"/>
    <col min="12293" max="12293" width="5.1640625" style="147" customWidth="1"/>
    <col min="12294" max="12294" width="28.83203125" style="147" customWidth="1"/>
    <col min="12295" max="12295" width="13" style="147" customWidth="1"/>
    <col min="12296" max="12544" width="8.83203125" style="147"/>
    <col min="12545" max="12545" width="38.1640625" style="147" customWidth="1"/>
    <col min="12546" max="12546" width="28.5" style="147" customWidth="1"/>
    <col min="12547" max="12547" width="12.83203125" style="147" customWidth="1"/>
    <col min="12548" max="12548" width="5" style="147" customWidth="1"/>
    <col min="12549" max="12549" width="5.1640625" style="147" customWidth="1"/>
    <col min="12550" max="12550" width="28.83203125" style="147" customWidth="1"/>
    <col min="12551" max="12551" width="13" style="147" customWidth="1"/>
    <col min="12552" max="12800" width="8.83203125" style="147"/>
    <col min="12801" max="12801" width="38.1640625" style="147" customWidth="1"/>
    <col min="12802" max="12802" width="28.5" style="147" customWidth="1"/>
    <col min="12803" max="12803" width="12.83203125" style="147" customWidth="1"/>
    <col min="12804" max="12804" width="5" style="147" customWidth="1"/>
    <col min="12805" max="12805" width="5.1640625" style="147" customWidth="1"/>
    <col min="12806" max="12806" width="28.83203125" style="147" customWidth="1"/>
    <col min="12807" max="12807" width="13" style="147" customWidth="1"/>
    <col min="12808" max="13056" width="8.83203125" style="147"/>
    <col min="13057" max="13057" width="38.1640625" style="147" customWidth="1"/>
    <col min="13058" max="13058" width="28.5" style="147" customWidth="1"/>
    <col min="13059" max="13059" width="12.83203125" style="147" customWidth="1"/>
    <col min="13060" max="13060" width="5" style="147" customWidth="1"/>
    <col min="13061" max="13061" width="5.1640625" style="147" customWidth="1"/>
    <col min="13062" max="13062" width="28.83203125" style="147" customWidth="1"/>
    <col min="13063" max="13063" width="13" style="147" customWidth="1"/>
    <col min="13064" max="13312" width="8.83203125" style="147"/>
    <col min="13313" max="13313" width="38.1640625" style="147" customWidth="1"/>
    <col min="13314" max="13314" width="28.5" style="147" customWidth="1"/>
    <col min="13315" max="13315" width="12.83203125" style="147" customWidth="1"/>
    <col min="13316" max="13316" width="5" style="147" customWidth="1"/>
    <col min="13317" max="13317" width="5.1640625" style="147" customWidth="1"/>
    <col min="13318" max="13318" width="28.83203125" style="147" customWidth="1"/>
    <col min="13319" max="13319" width="13" style="147" customWidth="1"/>
    <col min="13320" max="13568" width="8.83203125" style="147"/>
    <col min="13569" max="13569" width="38.1640625" style="147" customWidth="1"/>
    <col min="13570" max="13570" width="28.5" style="147" customWidth="1"/>
    <col min="13571" max="13571" width="12.83203125" style="147" customWidth="1"/>
    <col min="13572" max="13572" width="5" style="147" customWidth="1"/>
    <col min="13573" max="13573" width="5.1640625" style="147" customWidth="1"/>
    <col min="13574" max="13574" width="28.83203125" style="147" customWidth="1"/>
    <col min="13575" max="13575" width="13" style="147" customWidth="1"/>
    <col min="13576" max="13824" width="8.83203125" style="147"/>
    <col min="13825" max="13825" width="38.1640625" style="147" customWidth="1"/>
    <col min="13826" max="13826" width="28.5" style="147" customWidth="1"/>
    <col min="13827" max="13827" width="12.83203125" style="147" customWidth="1"/>
    <col min="13828" max="13828" width="5" style="147" customWidth="1"/>
    <col min="13829" max="13829" width="5.1640625" style="147" customWidth="1"/>
    <col min="13830" max="13830" width="28.83203125" style="147" customWidth="1"/>
    <col min="13831" max="13831" width="13" style="147" customWidth="1"/>
    <col min="13832" max="14080" width="8.83203125" style="147"/>
    <col min="14081" max="14081" width="38.1640625" style="147" customWidth="1"/>
    <col min="14082" max="14082" width="28.5" style="147" customWidth="1"/>
    <col min="14083" max="14083" width="12.83203125" style="147" customWidth="1"/>
    <col min="14084" max="14084" width="5" style="147" customWidth="1"/>
    <col min="14085" max="14085" width="5.1640625" style="147" customWidth="1"/>
    <col min="14086" max="14086" width="28.83203125" style="147" customWidth="1"/>
    <col min="14087" max="14087" width="13" style="147" customWidth="1"/>
    <col min="14088" max="14336" width="8.83203125" style="147"/>
    <col min="14337" max="14337" width="38.1640625" style="147" customWidth="1"/>
    <col min="14338" max="14338" width="28.5" style="147" customWidth="1"/>
    <col min="14339" max="14339" width="12.83203125" style="147" customWidth="1"/>
    <col min="14340" max="14340" width="5" style="147" customWidth="1"/>
    <col min="14341" max="14341" width="5.1640625" style="147" customWidth="1"/>
    <col min="14342" max="14342" width="28.83203125" style="147" customWidth="1"/>
    <col min="14343" max="14343" width="13" style="147" customWidth="1"/>
    <col min="14344" max="14592" width="8.83203125" style="147"/>
    <col min="14593" max="14593" width="38.1640625" style="147" customWidth="1"/>
    <col min="14594" max="14594" width="28.5" style="147" customWidth="1"/>
    <col min="14595" max="14595" width="12.83203125" style="147" customWidth="1"/>
    <col min="14596" max="14596" width="5" style="147" customWidth="1"/>
    <col min="14597" max="14597" width="5.1640625" style="147" customWidth="1"/>
    <col min="14598" max="14598" width="28.83203125" style="147" customWidth="1"/>
    <col min="14599" max="14599" width="13" style="147" customWidth="1"/>
    <col min="14600" max="14848" width="8.83203125" style="147"/>
    <col min="14849" max="14849" width="38.1640625" style="147" customWidth="1"/>
    <col min="14850" max="14850" width="28.5" style="147" customWidth="1"/>
    <col min="14851" max="14851" width="12.83203125" style="147" customWidth="1"/>
    <col min="14852" max="14852" width="5" style="147" customWidth="1"/>
    <col min="14853" max="14853" width="5.1640625" style="147" customWidth="1"/>
    <col min="14854" max="14854" width="28.83203125" style="147" customWidth="1"/>
    <col min="14855" max="14855" width="13" style="147" customWidth="1"/>
    <col min="14856" max="15104" width="8.83203125" style="147"/>
    <col min="15105" max="15105" width="38.1640625" style="147" customWidth="1"/>
    <col min="15106" max="15106" width="28.5" style="147" customWidth="1"/>
    <col min="15107" max="15107" width="12.83203125" style="147" customWidth="1"/>
    <col min="15108" max="15108" width="5" style="147" customWidth="1"/>
    <col min="15109" max="15109" width="5.1640625" style="147" customWidth="1"/>
    <col min="15110" max="15110" width="28.83203125" style="147" customWidth="1"/>
    <col min="15111" max="15111" width="13" style="147" customWidth="1"/>
    <col min="15112" max="15360" width="8.83203125" style="147"/>
    <col min="15361" max="15361" width="38.1640625" style="147" customWidth="1"/>
    <col min="15362" max="15362" width="28.5" style="147" customWidth="1"/>
    <col min="15363" max="15363" width="12.83203125" style="147" customWidth="1"/>
    <col min="15364" max="15364" width="5" style="147" customWidth="1"/>
    <col min="15365" max="15365" width="5.1640625" style="147" customWidth="1"/>
    <col min="15366" max="15366" width="28.83203125" style="147" customWidth="1"/>
    <col min="15367" max="15367" width="13" style="147" customWidth="1"/>
    <col min="15368" max="15616" width="8.83203125" style="147"/>
    <col min="15617" max="15617" width="38.1640625" style="147" customWidth="1"/>
    <col min="15618" max="15618" width="28.5" style="147" customWidth="1"/>
    <col min="15619" max="15619" width="12.83203125" style="147" customWidth="1"/>
    <col min="15620" max="15620" width="5" style="147" customWidth="1"/>
    <col min="15621" max="15621" width="5.1640625" style="147" customWidth="1"/>
    <col min="15622" max="15622" width="28.83203125" style="147" customWidth="1"/>
    <col min="15623" max="15623" width="13" style="147" customWidth="1"/>
    <col min="15624" max="15872" width="8.83203125" style="147"/>
    <col min="15873" max="15873" width="38.1640625" style="147" customWidth="1"/>
    <col min="15874" max="15874" width="28.5" style="147" customWidth="1"/>
    <col min="15875" max="15875" width="12.83203125" style="147" customWidth="1"/>
    <col min="15876" max="15876" width="5" style="147" customWidth="1"/>
    <col min="15877" max="15877" width="5.1640625" style="147" customWidth="1"/>
    <col min="15878" max="15878" width="28.83203125" style="147" customWidth="1"/>
    <col min="15879" max="15879" width="13" style="147" customWidth="1"/>
    <col min="15880" max="16128" width="8.83203125" style="147"/>
    <col min="16129" max="16129" width="38.1640625" style="147" customWidth="1"/>
    <col min="16130" max="16130" width="28.5" style="147" customWidth="1"/>
    <col min="16131" max="16131" width="12.83203125" style="147" customWidth="1"/>
    <col min="16132" max="16132" width="5" style="147" customWidth="1"/>
    <col min="16133" max="16133" width="5.1640625" style="147" customWidth="1"/>
    <col min="16134" max="16134" width="28.83203125" style="147" customWidth="1"/>
    <col min="16135" max="16135" width="13" style="147" customWidth="1"/>
    <col min="16136" max="16384" width="8.83203125" style="147"/>
  </cols>
  <sheetData>
    <row r="1" spans="1:3">
      <c r="A1" s="146"/>
    </row>
    <row r="3" spans="1:3" ht="16">
      <c r="B3" s="148" t="s">
        <v>189</v>
      </c>
      <c r="C3" s="149"/>
    </row>
    <row r="4" spans="1:3">
      <c r="B4" s="264" t="s">
        <v>84</v>
      </c>
      <c r="C4" s="264"/>
    </row>
    <row r="5" spans="1:3" ht="14">
      <c r="B5" s="150" t="s">
        <v>233</v>
      </c>
      <c r="C5" s="151">
        <f>(Establishment!C27+'Hop Production'!D32)-'Hop Production'!D40</f>
        <v>7483.3563906926429</v>
      </c>
    </row>
    <row r="6" spans="1:3" ht="14">
      <c r="B6" s="150" t="s">
        <v>234</v>
      </c>
      <c r="C6" s="152">
        <v>5</v>
      </c>
    </row>
    <row r="7" spans="1:3">
      <c r="B7" s="150" t="s">
        <v>190</v>
      </c>
      <c r="C7" s="153">
        <v>0.05</v>
      </c>
    </row>
    <row r="8" spans="1:3">
      <c r="B8" s="265"/>
      <c r="C8" s="265"/>
    </row>
    <row r="9" spans="1:3">
      <c r="B9" s="154" t="s">
        <v>191</v>
      </c>
      <c r="C9" s="155">
        <f>IF(C6=0," ",PMT(C7,C6,C5))</f>
        <v>-1728.4667316621185</v>
      </c>
    </row>
    <row r="10" spans="1:3">
      <c r="B10" s="156" t="s">
        <v>236</v>
      </c>
      <c r="C10" s="60"/>
    </row>
    <row r="11" spans="1:3">
      <c r="B11" s="157" t="s">
        <v>235</v>
      </c>
      <c r="C11" s="151"/>
    </row>
  </sheetData>
  <sheetProtection sheet="1" objects="1" scenarios="1"/>
  <protectedRanges>
    <protectedRange sqref="C6:C7" name="Range1"/>
  </protectedRanges>
  <mergeCells count="2">
    <mergeCell ref="B4:C4"/>
    <mergeCell ref="B8:C8"/>
  </mergeCells>
  <pageMargins left="0.7" right="0.7" top="0.75" bottom="0.75" header="0.3" footer="0.3"/>
  <ignoredErrors>
    <ignoredError sqref="C5" unlockedFormula="1"/>
  </ignoredError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48"/>
  <sheetViews>
    <sheetView workbookViewId="0">
      <selection activeCell="C29" sqref="C29"/>
    </sheetView>
  </sheetViews>
  <sheetFormatPr baseColWidth="10" defaultColWidth="8.83203125" defaultRowHeight="13" x14ac:dyDescent="0"/>
  <cols>
    <col min="1" max="1" width="8.83203125" style="21"/>
    <col min="2" max="2" width="11.1640625" style="21" customWidth="1"/>
    <col min="3" max="3" width="12.5" style="159" customWidth="1"/>
    <col min="4" max="4" width="9.1640625" style="95" customWidth="1"/>
    <col min="5" max="6" width="14" style="21" customWidth="1"/>
    <col min="7" max="9" width="14.1640625" style="44" customWidth="1"/>
    <col min="10" max="10" width="10.5" style="21" customWidth="1"/>
    <col min="11" max="11" width="12.33203125" style="159" customWidth="1"/>
    <col min="12" max="12" width="6.83203125" style="159" customWidth="1"/>
    <col min="13" max="14" width="14" style="21" customWidth="1"/>
    <col min="15" max="15" width="14.1640625" style="44" customWidth="1"/>
    <col min="16" max="16" width="13.33203125" style="44" customWidth="1"/>
    <col min="17" max="17" width="15" style="21" customWidth="1"/>
    <col min="18" max="18" width="14.1640625" style="44" customWidth="1"/>
    <col min="19" max="19" width="10.6640625" style="44" customWidth="1"/>
    <col min="20" max="20" width="12.5" style="159" customWidth="1"/>
    <col min="21" max="21" width="9.1640625" style="159" customWidth="1"/>
    <col min="22" max="22" width="13.5" style="21" customWidth="1"/>
    <col min="23" max="23" width="14" style="21" customWidth="1"/>
    <col min="24" max="24" width="14" style="44" customWidth="1"/>
    <col min="25" max="25" width="14.1640625" style="44" customWidth="1"/>
    <col min="26" max="26" width="15" style="21" customWidth="1"/>
    <col min="27" max="262" width="8.83203125" style="21"/>
    <col min="263" max="263" width="4.1640625" style="21" customWidth="1"/>
    <col min="264" max="264" width="7.33203125" style="21" customWidth="1"/>
    <col min="265" max="266" width="14" style="21" customWidth="1"/>
    <col min="267" max="267" width="14.1640625" style="21" customWidth="1"/>
    <col min="268" max="518" width="8.83203125" style="21"/>
    <col min="519" max="519" width="4.1640625" style="21" customWidth="1"/>
    <col min="520" max="520" width="7.33203125" style="21" customWidth="1"/>
    <col min="521" max="522" width="14" style="21" customWidth="1"/>
    <col min="523" max="523" width="14.1640625" style="21" customWidth="1"/>
    <col min="524" max="774" width="8.83203125" style="21"/>
    <col min="775" max="775" width="4.1640625" style="21" customWidth="1"/>
    <col min="776" max="776" width="7.33203125" style="21" customWidth="1"/>
    <col min="777" max="778" width="14" style="21" customWidth="1"/>
    <col min="779" max="779" width="14.1640625" style="21" customWidth="1"/>
    <col min="780" max="1030" width="8.83203125" style="21"/>
    <col min="1031" max="1031" width="4.1640625" style="21" customWidth="1"/>
    <col min="1032" max="1032" width="7.33203125" style="21" customWidth="1"/>
    <col min="1033" max="1034" width="14" style="21" customWidth="1"/>
    <col min="1035" max="1035" width="14.1640625" style="21" customWidth="1"/>
    <col min="1036" max="1286" width="8.83203125" style="21"/>
    <col min="1287" max="1287" width="4.1640625" style="21" customWidth="1"/>
    <col min="1288" max="1288" width="7.33203125" style="21" customWidth="1"/>
    <col min="1289" max="1290" width="14" style="21" customWidth="1"/>
    <col min="1291" max="1291" width="14.1640625" style="21" customWidth="1"/>
    <col min="1292" max="1542" width="8.83203125" style="21"/>
    <col min="1543" max="1543" width="4.1640625" style="21" customWidth="1"/>
    <col min="1544" max="1544" width="7.33203125" style="21" customWidth="1"/>
    <col min="1545" max="1546" width="14" style="21" customWidth="1"/>
    <col min="1547" max="1547" width="14.1640625" style="21" customWidth="1"/>
    <col min="1548" max="1798" width="8.83203125" style="21"/>
    <col min="1799" max="1799" width="4.1640625" style="21" customWidth="1"/>
    <col min="1800" max="1800" width="7.33203125" style="21" customWidth="1"/>
    <col min="1801" max="1802" width="14" style="21" customWidth="1"/>
    <col min="1803" max="1803" width="14.1640625" style="21" customWidth="1"/>
    <col min="1804" max="2054" width="8.83203125" style="21"/>
    <col min="2055" max="2055" width="4.1640625" style="21" customWidth="1"/>
    <col min="2056" max="2056" width="7.33203125" style="21" customWidth="1"/>
    <col min="2057" max="2058" width="14" style="21" customWidth="1"/>
    <col min="2059" max="2059" width="14.1640625" style="21" customWidth="1"/>
    <col min="2060" max="2310" width="8.83203125" style="21"/>
    <col min="2311" max="2311" width="4.1640625" style="21" customWidth="1"/>
    <col min="2312" max="2312" width="7.33203125" style="21" customWidth="1"/>
    <col min="2313" max="2314" width="14" style="21" customWidth="1"/>
    <col min="2315" max="2315" width="14.1640625" style="21" customWidth="1"/>
    <col min="2316" max="2566" width="8.83203125" style="21"/>
    <col min="2567" max="2567" width="4.1640625" style="21" customWidth="1"/>
    <col min="2568" max="2568" width="7.33203125" style="21" customWidth="1"/>
    <col min="2569" max="2570" width="14" style="21" customWidth="1"/>
    <col min="2571" max="2571" width="14.1640625" style="21" customWidth="1"/>
    <col min="2572" max="2822" width="8.83203125" style="21"/>
    <col min="2823" max="2823" width="4.1640625" style="21" customWidth="1"/>
    <col min="2824" max="2824" width="7.33203125" style="21" customWidth="1"/>
    <col min="2825" max="2826" width="14" style="21" customWidth="1"/>
    <col min="2827" max="2827" width="14.1640625" style="21" customWidth="1"/>
    <col min="2828" max="3078" width="8.83203125" style="21"/>
    <col min="3079" max="3079" width="4.1640625" style="21" customWidth="1"/>
    <col min="3080" max="3080" width="7.33203125" style="21" customWidth="1"/>
    <col min="3081" max="3082" width="14" style="21" customWidth="1"/>
    <col min="3083" max="3083" width="14.1640625" style="21" customWidth="1"/>
    <col min="3084" max="3334" width="8.83203125" style="21"/>
    <col min="3335" max="3335" width="4.1640625" style="21" customWidth="1"/>
    <col min="3336" max="3336" width="7.33203125" style="21" customWidth="1"/>
    <col min="3337" max="3338" width="14" style="21" customWidth="1"/>
    <col min="3339" max="3339" width="14.1640625" style="21" customWidth="1"/>
    <col min="3340" max="3590" width="8.83203125" style="21"/>
    <col min="3591" max="3591" width="4.1640625" style="21" customWidth="1"/>
    <col min="3592" max="3592" width="7.33203125" style="21" customWidth="1"/>
    <col min="3593" max="3594" width="14" style="21" customWidth="1"/>
    <col min="3595" max="3595" width="14.1640625" style="21" customWidth="1"/>
    <col min="3596" max="3846" width="8.83203125" style="21"/>
    <col min="3847" max="3847" width="4.1640625" style="21" customWidth="1"/>
    <col min="3848" max="3848" width="7.33203125" style="21" customWidth="1"/>
    <col min="3849" max="3850" width="14" style="21" customWidth="1"/>
    <col min="3851" max="3851" width="14.1640625" style="21" customWidth="1"/>
    <col min="3852" max="4102" width="8.83203125" style="21"/>
    <col min="4103" max="4103" width="4.1640625" style="21" customWidth="1"/>
    <col min="4104" max="4104" width="7.33203125" style="21" customWidth="1"/>
    <col min="4105" max="4106" width="14" style="21" customWidth="1"/>
    <col min="4107" max="4107" width="14.1640625" style="21" customWidth="1"/>
    <col min="4108" max="4358" width="8.83203125" style="21"/>
    <col min="4359" max="4359" width="4.1640625" style="21" customWidth="1"/>
    <col min="4360" max="4360" width="7.33203125" style="21" customWidth="1"/>
    <col min="4361" max="4362" width="14" style="21" customWidth="1"/>
    <col min="4363" max="4363" width="14.1640625" style="21" customWidth="1"/>
    <col min="4364" max="4614" width="8.83203125" style="21"/>
    <col min="4615" max="4615" width="4.1640625" style="21" customWidth="1"/>
    <col min="4616" max="4616" width="7.33203125" style="21" customWidth="1"/>
    <col min="4617" max="4618" width="14" style="21" customWidth="1"/>
    <col min="4619" max="4619" width="14.1640625" style="21" customWidth="1"/>
    <col min="4620" max="4870" width="8.83203125" style="21"/>
    <col min="4871" max="4871" width="4.1640625" style="21" customWidth="1"/>
    <col min="4872" max="4872" width="7.33203125" style="21" customWidth="1"/>
    <col min="4873" max="4874" width="14" style="21" customWidth="1"/>
    <col min="4875" max="4875" width="14.1640625" style="21" customWidth="1"/>
    <col min="4876" max="5126" width="8.83203125" style="21"/>
    <col min="5127" max="5127" width="4.1640625" style="21" customWidth="1"/>
    <col min="5128" max="5128" width="7.33203125" style="21" customWidth="1"/>
    <col min="5129" max="5130" width="14" style="21" customWidth="1"/>
    <col min="5131" max="5131" width="14.1640625" style="21" customWidth="1"/>
    <col min="5132" max="5382" width="8.83203125" style="21"/>
    <col min="5383" max="5383" width="4.1640625" style="21" customWidth="1"/>
    <col min="5384" max="5384" width="7.33203125" style="21" customWidth="1"/>
    <col min="5385" max="5386" width="14" style="21" customWidth="1"/>
    <col min="5387" max="5387" width="14.1640625" style="21" customWidth="1"/>
    <col min="5388" max="5638" width="8.83203125" style="21"/>
    <col min="5639" max="5639" width="4.1640625" style="21" customWidth="1"/>
    <col min="5640" max="5640" width="7.33203125" style="21" customWidth="1"/>
    <col min="5641" max="5642" width="14" style="21" customWidth="1"/>
    <col min="5643" max="5643" width="14.1640625" style="21" customWidth="1"/>
    <col min="5644" max="5894" width="8.83203125" style="21"/>
    <col min="5895" max="5895" width="4.1640625" style="21" customWidth="1"/>
    <col min="5896" max="5896" width="7.33203125" style="21" customWidth="1"/>
    <col min="5897" max="5898" width="14" style="21" customWidth="1"/>
    <col min="5899" max="5899" width="14.1640625" style="21" customWidth="1"/>
    <col min="5900" max="6150" width="8.83203125" style="21"/>
    <col min="6151" max="6151" width="4.1640625" style="21" customWidth="1"/>
    <col min="6152" max="6152" width="7.33203125" style="21" customWidth="1"/>
    <col min="6153" max="6154" width="14" style="21" customWidth="1"/>
    <col min="6155" max="6155" width="14.1640625" style="21" customWidth="1"/>
    <col min="6156" max="6406" width="8.83203125" style="21"/>
    <col min="6407" max="6407" width="4.1640625" style="21" customWidth="1"/>
    <col min="6408" max="6408" width="7.33203125" style="21" customWidth="1"/>
    <col min="6409" max="6410" width="14" style="21" customWidth="1"/>
    <col min="6411" max="6411" width="14.1640625" style="21" customWidth="1"/>
    <col min="6412" max="6662" width="8.83203125" style="21"/>
    <col min="6663" max="6663" width="4.1640625" style="21" customWidth="1"/>
    <col min="6664" max="6664" width="7.33203125" style="21" customWidth="1"/>
    <col min="6665" max="6666" width="14" style="21" customWidth="1"/>
    <col min="6667" max="6667" width="14.1640625" style="21" customWidth="1"/>
    <col min="6668" max="6918" width="8.83203125" style="21"/>
    <col min="6919" max="6919" width="4.1640625" style="21" customWidth="1"/>
    <col min="6920" max="6920" width="7.33203125" style="21" customWidth="1"/>
    <col min="6921" max="6922" width="14" style="21" customWidth="1"/>
    <col min="6923" max="6923" width="14.1640625" style="21" customWidth="1"/>
    <col min="6924" max="7174" width="8.83203125" style="21"/>
    <col min="7175" max="7175" width="4.1640625" style="21" customWidth="1"/>
    <col min="7176" max="7176" width="7.33203125" style="21" customWidth="1"/>
    <col min="7177" max="7178" width="14" style="21" customWidth="1"/>
    <col min="7179" max="7179" width="14.1640625" style="21" customWidth="1"/>
    <col min="7180" max="7430" width="8.83203125" style="21"/>
    <col min="7431" max="7431" width="4.1640625" style="21" customWidth="1"/>
    <col min="7432" max="7432" width="7.33203125" style="21" customWidth="1"/>
    <col min="7433" max="7434" width="14" style="21" customWidth="1"/>
    <col min="7435" max="7435" width="14.1640625" style="21" customWidth="1"/>
    <col min="7436" max="7686" width="8.83203125" style="21"/>
    <col min="7687" max="7687" width="4.1640625" style="21" customWidth="1"/>
    <col min="7688" max="7688" width="7.33203125" style="21" customWidth="1"/>
    <col min="7689" max="7690" width="14" style="21" customWidth="1"/>
    <col min="7691" max="7691" width="14.1640625" style="21" customWidth="1"/>
    <col min="7692" max="7942" width="8.83203125" style="21"/>
    <col min="7943" max="7943" width="4.1640625" style="21" customWidth="1"/>
    <col min="7944" max="7944" width="7.33203125" style="21" customWidth="1"/>
    <col min="7945" max="7946" width="14" style="21" customWidth="1"/>
    <col min="7947" max="7947" width="14.1640625" style="21" customWidth="1"/>
    <col min="7948" max="8198" width="8.83203125" style="21"/>
    <col min="8199" max="8199" width="4.1640625" style="21" customWidth="1"/>
    <col min="8200" max="8200" width="7.33203125" style="21" customWidth="1"/>
    <col min="8201" max="8202" width="14" style="21" customWidth="1"/>
    <col min="8203" max="8203" width="14.1640625" style="21" customWidth="1"/>
    <col min="8204" max="8454" width="8.83203125" style="21"/>
    <col min="8455" max="8455" width="4.1640625" style="21" customWidth="1"/>
    <col min="8456" max="8456" width="7.33203125" style="21" customWidth="1"/>
    <col min="8457" max="8458" width="14" style="21" customWidth="1"/>
    <col min="8459" max="8459" width="14.1640625" style="21" customWidth="1"/>
    <col min="8460" max="8710" width="8.83203125" style="21"/>
    <col min="8711" max="8711" width="4.1640625" style="21" customWidth="1"/>
    <col min="8712" max="8712" width="7.33203125" style="21" customWidth="1"/>
    <col min="8713" max="8714" width="14" style="21" customWidth="1"/>
    <col min="8715" max="8715" width="14.1640625" style="21" customWidth="1"/>
    <col min="8716" max="8966" width="8.83203125" style="21"/>
    <col min="8967" max="8967" width="4.1640625" style="21" customWidth="1"/>
    <col min="8968" max="8968" width="7.33203125" style="21" customWidth="1"/>
    <col min="8969" max="8970" width="14" style="21" customWidth="1"/>
    <col min="8971" max="8971" width="14.1640625" style="21" customWidth="1"/>
    <col min="8972" max="9222" width="8.83203125" style="21"/>
    <col min="9223" max="9223" width="4.1640625" style="21" customWidth="1"/>
    <col min="9224" max="9224" width="7.33203125" style="21" customWidth="1"/>
    <col min="9225" max="9226" width="14" style="21" customWidth="1"/>
    <col min="9227" max="9227" width="14.1640625" style="21" customWidth="1"/>
    <col min="9228" max="9478" width="8.83203125" style="21"/>
    <col min="9479" max="9479" width="4.1640625" style="21" customWidth="1"/>
    <col min="9480" max="9480" width="7.33203125" style="21" customWidth="1"/>
    <col min="9481" max="9482" width="14" style="21" customWidth="1"/>
    <col min="9483" max="9483" width="14.1640625" style="21" customWidth="1"/>
    <col min="9484" max="9734" width="8.83203125" style="21"/>
    <col min="9735" max="9735" width="4.1640625" style="21" customWidth="1"/>
    <col min="9736" max="9736" width="7.33203125" style="21" customWidth="1"/>
    <col min="9737" max="9738" width="14" style="21" customWidth="1"/>
    <col min="9739" max="9739" width="14.1640625" style="21" customWidth="1"/>
    <col min="9740" max="9990" width="8.83203125" style="21"/>
    <col min="9991" max="9991" width="4.1640625" style="21" customWidth="1"/>
    <col min="9992" max="9992" width="7.33203125" style="21" customWidth="1"/>
    <col min="9993" max="9994" width="14" style="21" customWidth="1"/>
    <col min="9995" max="9995" width="14.1640625" style="21" customWidth="1"/>
    <col min="9996" max="10246" width="8.83203125" style="21"/>
    <col min="10247" max="10247" width="4.1640625" style="21" customWidth="1"/>
    <col min="10248" max="10248" width="7.33203125" style="21" customWidth="1"/>
    <col min="10249" max="10250" width="14" style="21" customWidth="1"/>
    <col min="10251" max="10251" width="14.1640625" style="21" customWidth="1"/>
    <col min="10252" max="10502" width="8.83203125" style="21"/>
    <col min="10503" max="10503" width="4.1640625" style="21" customWidth="1"/>
    <col min="10504" max="10504" width="7.33203125" style="21" customWidth="1"/>
    <col min="10505" max="10506" width="14" style="21" customWidth="1"/>
    <col min="10507" max="10507" width="14.1640625" style="21" customWidth="1"/>
    <col min="10508" max="10758" width="8.83203125" style="21"/>
    <col min="10759" max="10759" width="4.1640625" style="21" customWidth="1"/>
    <col min="10760" max="10760" width="7.33203125" style="21" customWidth="1"/>
    <col min="10761" max="10762" width="14" style="21" customWidth="1"/>
    <col min="10763" max="10763" width="14.1640625" style="21" customWidth="1"/>
    <col min="10764" max="11014" width="8.83203125" style="21"/>
    <col min="11015" max="11015" width="4.1640625" style="21" customWidth="1"/>
    <col min="11016" max="11016" width="7.33203125" style="21" customWidth="1"/>
    <col min="11017" max="11018" width="14" style="21" customWidth="1"/>
    <col min="11019" max="11019" width="14.1640625" style="21" customWidth="1"/>
    <col min="11020" max="11270" width="8.83203125" style="21"/>
    <col min="11271" max="11271" width="4.1640625" style="21" customWidth="1"/>
    <col min="11272" max="11272" width="7.33203125" style="21" customWidth="1"/>
    <col min="11273" max="11274" width="14" style="21" customWidth="1"/>
    <col min="11275" max="11275" width="14.1640625" style="21" customWidth="1"/>
    <col min="11276" max="11526" width="8.83203125" style="21"/>
    <col min="11527" max="11527" width="4.1640625" style="21" customWidth="1"/>
    <col min="11528" max="11528" width="7.33203125" style="21" customWidth="1"/>
    <col min="11529" max="11530" width="14" style="21" customWidth="1"/>
    <col min="11531" max="11531" width="14.1640625" style="21" customWidth="1"/>
    <col min="11532" max="11782" width="8.83203125" style="21"/>
    <col min="11783" max="11783" width="4.1640625" style="21" customWidth="1"/>
    <col min="11784" max="11784" width="7.33203125" style="21" customWidth="1"/>
    <col min="11785" max="11786" width="14" style="21" customWidth="1"/>
    <col min="11787" max="11787" width="14.1640625" style="21" customWidth="1"/>
    <col min="11788" max="12038" width="8.83203125" style="21"/>
    <col min="12039" max="12039" width="4.1640625" style="21" customWidth="1"/>
    <col min="12040" max="12040" width="7.33203125" style="21" customWidth="1"/>
    <col min="12041" max="12042" width="14" style="21" customWidth="1"/>
    <col min="12043" max="12043" width="14.1640625" style="21" customWidth="1"/>
    <col min="12044" max="12294" width="8.83203125" style="21"/>
    <col min="12295" max="12295" width="4.1640625" style="21" customWidth="1"/>
    <col min="12296" max="12296" width="7.33203125" style="21" customWidth="1"/>
    <col min="12297" max="12298" width="14" style="21" customWidth="1"/>
    <col min="12299" max="12299" width="14.1640625" style="21" customWidth="1"/>
    <col min="12300" max="12550" width="8.83203125" style="21"/>
    <col min="12551" max="12551" width="4.1640625" style="21" customWidth="1"/>
    <col min="12552" max="12552" width="7.33203125" style="21" customWidth="1"/>
    <col min="12553" max="12554" width="14" style="21" customWidth="1"/>
    <col min="12555" max="12555" width="14.1640625" style="21" customWidth="1"/>
    <col min="12556" max="12806" width="8.83203125" style="21"/>
    <col min="12807" max="12807" width="4.1640625" style="21" customWidth="1"/>
    <col min="12808" max="12808" width="7.33203125" style="21" customWidth="1"/>
    <col min="12809" max="12810" width="14" style="21" customWidth="1"/>
    <col min="12811" max="12811" width="14.1640625" style="21" customWidth="1"/>
    <col min="12812" max="13062" width="8.83203125" style="21"/>
    <col min="13063" max="13063" width="4.1640625" style="21" customWidth="1"/>
    <col min="13064" max="13064" width="7.33203125" style="21" customWidth="1"/>
    <col min="13065" max="13066" width="14" style="21" customWidth="1"/>
    <col min="13067" max="13067" width="14.1640625" style="21" customWidth="1"/>
    <col min="13068" max="13318" width="8.83203125" style="21"/>
    <col min="13319" max="13319" width="4.1640625" style="21" customWidth="1"/>
    <col min="13320" max="13320" width="7.33203125" style="21" customWidth="1"/>
    <col min="13321" max="13322" width="14" style="21" customWidth="1"/>
    <col min="13323" max="13323" width="14.1640625" style="21" customWidth="1"/>
    <col min="13324" max="13574" width="8.83203125" style="21"/>
    <col min="13575" max="13575" width="4.1640625" style="21" customWidth="1"/>
    <col min="13576" max="13576" width="7.33203125" style="21" customWidth="1"/>
    <col min="13577" max="13578" width="14" style="21" customWidth="1"/>
    <col min="13579" max="13579" width="14.1640625" style="21" customWidth="1"/>
    <col min="13580" max="13830" width="8.83203125" style="21"/>
    <col min="13831" max="13831" width="4.1640625" style="21" customWidth="1"/>
    <col min="13832" max="13832" width="7.33203125" style="21" customWidth="1"/>
    <col min="13833" max="13834" width="14" style="21" customWidth="1"/>
    <col min="13835" max="13835" width="14.1640625" style="21" customWidth="1"/>
    <col min="13836" max="14086" width="8.83203125" style="21"/>
    <col min="14087" max="14087" width="4.1640625" style="21" customWidth="1"/>
    <col min="14088" max="14088" width="7.33203125" style="21" customWidth="1"/>
    <col min="14089" max="14090" width="14" style="21" customWidth="1"/>
    <col min="14091" max="14091" width="14.1640625" style="21" customWidth="1"/>
    <col min="14092" max="14342" width="8.83203125" style="21"/>
    <col min="14343" max="14343" width="4.1640625" style="21" customWidth="1"/>
    <col min="14344" max="14344" width="7.33203125" style="21" customWidth="1"/>
    <col min="14345" max="14346" width="14" style="21" customWidth="1"/>
    <col min="14347" max="14347" width="14.1640625" style="21" customWidth="1"/>
    <col min="14348" max="14598" width="8.83203125" style="21"/>
    <col min="14599" max="14599" width="4.1640625" style="21" customWidth="1"/>
    <col min="14600" max="14600" width="7.33203125" style="21" customWidth="1"/>
    <col min="14601" max="14602" width="14" style="21" customWidth="1"/>
    <col min="14603" max="14603" width="14.1640625" style="21" customWidth="1"/>
    <col min="14604" max="14854" width="8.83203125" style="21"/>
    <col min="14855" max="14855" width="4.1640625" style="21" customWidth="1"/>
    <col min="14856" max="14856" width="7.33203125" style="21" customWidth="1"/>
    <col min="14857" max="14858" width="14" style="21" customWidth="1"/>
    <col min="14859" max="14859" width="14.1640625" style="21" customWidth="1"/>
    <col min="14860" max="15110" width="8.83203125" style="21"/>
    <col min="15111" max="15111" width="4.1640625" style="21" customWidth="1"/>
    <col min="15112" max="15112" width="7.33203125" style="21" customWidth="1"/>
    <col min="15113" max="15114" width="14" style="21" customWidth="1"/>
    <col min="15115" max="15115" width="14.1640625" style="21" customWidth="1"/>
    <col min="15116" max="15366" width="8.83203125" style="21"/>
    <col min="15367" max="15367" width="4.1640625" style="21" customWidth="1"/>
    <col min="15368" max="15368" width="7.33203125" style="21" customWidth="1"/>
    <col min="15369" max="15370" width="14" style="21" customWidth="1"/>
    <col min="15371" max="15371" width="14.1640625" style="21" customWidth="1"/>
    <col min="15372" max="15622" width="8.83203125" style="21"/>
    <col min="15623" max="15623" width="4.1640625" style="21" customWidth="1"/>
    <col min="15624" max="15624" width="7.33203125" style="21" customWidth="1"/>
    <col min="15625" max="15626" width="14" style="21" customWidth="1"/>
    <col min="15627" max="15627" width="14.1640625" style="21" customWidth="1"/>
    <col min="15628" max="15878" width="8.83203125" style="21"/>
    <col min="15879" max="15879" width="4.1640625" style="21" customWidth="1"/>
    <col min="15880" max="15880" width="7.33203125" style="21" customWidth="1"/>
    <col min="15881" max="15882" width="14" style="21" customWidth="1"/>
    <col min="15883" max="15883" width="14.1640625" style="21" customWidth="1"/>
    <col min="15884" max="16134" width="8.83203125" style="21"/>
    <col min="16135" max="16135" width="4.1640625" style="21" customWidth="1"/>
    <col min="16136" max="16136" width="7.33203125" style="21" customWidth="1"/>
    <col min="16137" max="16138" width="14" style="21" customWidth="1"/>
    <col min="16139" max="16139" width="14.1640625" style="21" customWidth="1"/>
    <col min="16140" max="16384" width="8.83203125" style="21"/>
  </cols>
  <sheetData>
    <row r="1" spans="2:26" ht="25.5" customHeight="1">
      <c r="B1" s="158" t="s">
        <v>197</v>
      </c>
      <c r="C1" s="21"/>
    </row>
    <row r="2" spans="2:26" ht="15.75" customHeight="1">
      <c r="B2" s="221" t="s">
        <v>89</v>
      </c>
      <c r="C2" s="21"/>
    </row>
    <row r="3" spans="2:26" ht="18" customHeight="1">
      <c r="B3" s="13" t="s">
        <v>198</v>
      </c>
      <c r="C3" s="21"/>
    </row>
    <row r="4" spans="2:26" ht="18" customHeight="1">
      <c r="B4" s="13" t="s">
        <v>199</v>
      </c>
      <c r="C4" s="21"/>
    </row>
    <row r="5" spans="2:26" ht="18" customHeight="1">
      <c r="B5" s="13" t="s">
        <v>200</v>
      </c>
      <c r="C5" s="21"/>
    </row>
    <row r="6" spans="2:26" ht="18" customHeight="1">
      <c r="B6" s="13" t="s">
        <v>204</v>
      </c>
      <c r="C6" s="21"/>
    </row>
    <row r="7" spans="2:26" ht="18" customHeight="1">
      <c r="B7" s="13" t="s">
        <v>201</v>
      </c>
      <c r="C7" s="21"/>
    </row>
    <row r="8" spans="2:26" ht="18" customHeight="1">
      <c r="B8" s="13" t="s">
        <v>206</v>
      </c>
      <c r="C8" s="21"/>
    </row>
    <row r="9" spans="2:26" ht="18" customHeight="1">
      <c r="B9" s="13" t="s">
        <v>210</v>
      </c>
      <c r="C9" s="21"/>
    </row>
    <row r="10" spans="2:26" ht="25.5" customHeight="1">
      <c r="B10" s="158"/>
      <c r="C10" s="21"/>
    </row>
    <row r="11" spans="2:26">
      <c r="B11" s="160" t="s">
        <v>148</v>
      </c>
      <c r="C11" s="160"/>
      <c r="D11" s="215"/>
      <c r="E11" s="20"/>
      <c r="F11" s="20"/>
      <c r="G11" s="161"/>
      <c r="H11" s="161"/>
      <c r="I11" s="161"/>
      <c r="J11" s="160" t="s">
        <v>149</v>
      </c>
      <c r="K11" s="21"/>
      <c r="L11" s="21"/>
      <c r="M11" s="20"/>
      <c r="N11" s="20"/>
      <c r="O11" s="161"/>
      <c r="P11" s="161"/>
      <c r="R11" s="161"/>
      <c r="S11" s="160" t="s">
        <v>150</v>
      </c>
      <c r="T11" s="160"/>
      <c r="U11" s="160"/>
      <c r="V11" s="20"/>
      <c r="W11" s="20"/>
      <c r="X11" s="161"/>
      <c r="Y11" s="161"/>
    </row>
    <row r="12" spans="2:26" ht="44.5" customHeight="1">
      <c r="B12" s="267" t="s">
        <v>207</v>
      </c>
      <c r="C12" s="213" t="s">
        <v>203</v>
      </c>
      <c r="D12" s="216" t="s">
        <v>202</v>
      </c>
      <c r="E12" s="162" t="s">
        <v>151</v>
      </c>
      <c r="F12" s="163" t="s">
        <v>205</v>
      </c>
      <c r="G12" s="162" t="s">
        <v>152</v>
      </c>
      <c r="H12" s="164" t="s">
        <v>153</v>
      </c>
      <c r="I12" s="165"/>
      <c r="J12" s="267" t="s">
        <v>207</v>
      </c>
      <c r="K12" s="213" t="s">
        <v>203</v>
      </c>
      <c r="L12" s="216" t="s">
        <v>202</v>
      </c>
      <c r="M12" s="162" t="s">
        <v>151</v>
      </c>
      <c r="N12" s="163" t="s">
        <v>211</v>
      </c>
      <c r="O12" s="162" t="s">
        <v>152</v>
      </c>
      <c r="P12" s="163" t="s">
        <v>153</v>
      </c>
      <c r="Q12" s="164" t="s">
        <v>154</v>
      </c>
      <c r="R12" s="165"/>
      <c r="S12" s="267" t="s">
        <v>207</v>
      </c>
      <c r="T12" s="213" t="s">
        <v>203</v>
      </c>
      <c r="U12" s="216" t="s">
        <v>202</v>
      </c>
      <c r="V12" s="162" t="s">
        <v>151</v>
      </c>
      <c r="W12" s="163" t="s">
        <v>205</v>
      </c>
      <c r="X12" s="162" t="s">
        <v>152</v>
      </c>
      <c r="Y12" s="163" t="s">
        <v>153</v>
      </c>
      <c r="Z12" s="164" t="s">
        <v>154</v>
      </c>
    </row>
    <row r="13" spans="2:26">
      <c r="B13" s="266"/>
      <c r="C13" s="167">
        <v>0</v>
      </c>
      <c r="D13" s="217">
        <v>1</v>
      </c>
      <c r="E13" s="168">
        <v>0</v>
      </c>
      <c r="F13" s="169">
        <f>'App2. Capital Req'!C10-((Establishment!C11+Establishment!C23)*H42)</f>
        <v>14526000</v>
      </c>
      <c r="G13" s="170">
        <f>E13-F13</f>
        <v>-14526000</v>
      </c>
      <c r="H13" s="171">
        <f>G13/(1+$H$44)^D13</f>
        <v>-14102912.621359223</v>
      </c>
      <c r="I13" s="170"/>
      <c r="J13" s="266"/>
      <c r="K13" s="167">
        <v>0</v>
      </c>
      <c r="L13" s="217">
        <v>1</v>
      </c>
      <c r="M13" s="168">
        <f>E13</f>
        <v>0</v>
      </c>
      <c r="N13" s="169">
        <f>'App2. Capital Req'!C9-((Establishment!C11+Establishment!C23)*P42)</f>
        <v>4626000</v>
      </c>
      <c r="O13" s="170">
        <f>M13-N13</f>
        <v>-4626000</v>
      </c>
      <c r="P13" s="170">
        <f t="shared" ref="P13:P18" si="0">O13/(1+$P$44)^K13</f>
        <v>-4626000</v>
      </c>
      <c r="Q13" s="172">
        <f>P13</f>
        <v>-4626000</v>
      </c>
      <c r="R13" s="170"/>
      <c r="S13" s="266"/>
      <c r="T13" s="167">
        <f t="shared" ref="T13:T18" si="1">C13</f>
        <v>0</v>
      </c>
      <c r="U13" s="217">
        <v>1</v>
      </c>
      <c r="V13" s="168">
        <f>E13</f>
        <v>0</v>
      </c>
      <c r="W13" s="169">
        <f>F13</f>
        <v>14526000</v>
      </c>
      <c r="X13" s="170">
        <f>V13-W13</f>
        <v>-14526000</v>
      </c>
      <c r="Y13" s="170">
        <f t="shared" ref="Y13:Y18" si="2">X13/(1+$Y$44)^T13</f>
        <v>-14526000</v>
      </c>
      <c r="Z13" s="172">
        <f>Y13</f>
        <v>-14526000</v>
      </c>
    </row>
    <row r="14" spans="2:26">
      <c r="B14" s="266"/>
      <c r="C14" s="167">
        <v>1</v>
      </c>
      <c r="D14" s="217">
        <v>2</v>
      </c>
      <c r="E14" s="168">
        <f>(H36*H38*H42)+(H37*H39*H42)</f>
        <v>5366400</v>
      </c>
      <c r="F14" s="168">
        <f>'App2. Capital Req'!D10-('Hop Production'!D16*H42)</f>
        <v>12226300</v>
      </c>
      <c r="G14" s="170">
        <f t="shared" ref="G14:G18" si="3">E14-F14</f>
        <v>-6859900</v>
      </c>
      <c r="H14" s="171">
        <f t="shared" ref="H14:H18" si="4">G14/(1+$H$44)^D14</f>
        <v>-6466113.6770666419</v>
      </c>
      <c r="I14" s="170"/>
      <c r="J14" s="266"/>
      <c r="K14" s="167">
        <v>1</v>
      </c>
      <c r="L14" s="217">
        <v>2</v>
      </c>
      <c r="M14" s="168">
        <f t="shared" ref="M14:M18" si="5">E14</f>
        <v>5366400</v>
      </c>
      <c r="N14" s="169">
        <f>'App2. Capital Req'!D9-(('Hop Production'!D16+'Hop Production'!D25)*P42)</f>
        <v>3549300</v>
      </c>
      <c r="O14" s="170">
        <f t="shared" ref="O14:O18" si="6">M14-N14</f>
        <v>1817100</v>
      </c>
      <c r="P14" s="170">
        <f t="shared" si="0"/>
        <v>1764174.7572815535</v>
      </c>
      <c r="Q14" s="172">
        <f>SUM(P$13:$P14)</f>
        <v>-2861825.2427184465</v>
      </c>
      <c r="R14" s="170"/>
      <c r="S14" s="266"/>
      <c r="T14" s="167">
        <f t="shared" si="1"/>
        <v>1</v>
      </c>
      <c r="U14" s="217">
        <v>2</v>
      </c>
      <c r="V14" s="168">
        <f t="shared" ref="V14:W18" si="7">E14</f>
        <v>5366400</v>
      </c>
      <c r="W14" s="169">
        <f t="shared" si="7"/>
        <v>12226300</v>
      </c>
      <c r="X14" s="170">
        <f t="shared" ref="X14:X18" si="8">V14-W14</f>
        <v>-6859900</v>
      </c>
      <c r="Y14" s="170">
        <f t="shared" si="2"/>
        <v>-6660097.0873786407</v>
      </c>
      <c r="Z14" s="172">
        <f>SUM($Y$13:Y14)</f>
        <v>-21186097.08737864</v>
      </c>
    </row>
    <row r="15" spans="2:26">
      <c r="B15" s="266"/>
      <c r="C15" s="167">
        <v>2</v>
      </c>
      <c r="D15" s="217">
        <v>3</v>
      </c>
      <c r="E15" s="168">
        <f>(H36*H40*H42)+(H37*H41*H42)</f>
        <v>6708000</v>
      </c>
      <c r="F15" s="168">
        <f>'App2. Capital Req'!E10-('Hop Production'!E16*H42)</f>
        <v>3871200</v>
      </c>
      <c r="G15" s="170">
        <f t="shared" si="3"/>
        <v>2836800</v>
      </c>
      <c r="H15" s="171">
        <f t="shared" si="4"/>
        <v>2596073.8592530428</v>
      </c>
      <c r="I15" s="170"/>
      <c r="J15" s="266"/>
      <c r="K15" s="167">
        <v>2</v>
      </c>
      <c r="L15" s="217">
        <v>3</v>
      </c>
      <c r="M15" s="168">
        <f t="shared" si="5"/>
        <v>6708000</v>
      </c>
      <c r="N15" s="169">
        <f>'App2. Capital Req'!E10-(('Hop Production'!E16+'Hop Production'!E25)*P42)</f>
        <v>3721200</v>
      </c>
      <c r="O15" s="170">
        <f t="shared" si="6"/>
        <v>2986800</v>
      </c>
      <c r="P15" s="170">
        <f t="shared" si="0"/>
        <v>2815345.4614006975</v>
      </c>
      <c r="Q15" s="172">
        <f>SUM(P$13:$P15)</f>
        <v>-46479.781317749061</v>
      </c>
      <c r="R15" s="170"/>
      <c r="S15" s="266"/>
      <c r="T15" s="167">
        <f t="shared" si="1"/>
        <v>2</v>
      </c>
      <c r="U15" s="217">
        <v>3</v>
      </c>
      <c r="V15" s="168">
        <f t="shared" si="7"/>
        <v>6708000</v>
      </c>
      <c r="W15" s="169">
        <f t="shared" si="7"/>
        <v>3871200</v>
      </c>
      <c r="X15" s="170">
        <f t="shared" si="8"/>
        <v>2836800</v>
      </c>
      <c r="Y15" s="170">
        <f t="shared" si="2"/>
        <v>2673956.0750306346</v>
      </c>
      <c r="Z15" s="172">
        <f>SUM($Y$13:Y15)</f>
        <v>-18512141.012348004</v>
      </c>
    </row>
    <row r="16" spans="2:26">
      <c r="B16" s="266"/>
      <c r="C16" s="167">
        <v>3</v>
      </c>
      <c r="D16" s="217">
        <v>4</v>
      </c>
      <c r="E16" s="168">
        <f>E15</f>
        <v>6708000</v>
      </c>
      <c r="F16" s="168">
        <f>F15</f>
        <v>3871200</v>
      </c>
      <c r="G16" s="170">
        <f t="shared" si="3"/>
        <v>2836800</v>
      </c>
      <c r="H16" s="171">
        <f t="shared" si="4"/>
        <v>2520460.0575272264</v>
      </c>
      <c r="I16" s="170"/>
      <c r="J16" s="266"/>
      <c r="K16" s="167">
        <v>3</v>
      </c>
      <c r="L16" s="217">
        <v>4</v>
      </c>
      <c r="M16" s="168">
        <f t="shared" si="5"/>
        <v>6708000</v>
      </c>
      <c r="N16" s="169">
        <f>N15</f>
        <v>3721200</v>
      </c>
      <c r="O16" s="170">
        <f t="shared" si="6"/>
        <v>2986800</v>
      </c>
      <c r="P16" s="170">
        <f t="shared" si="0"/>
        <v>2733345.108156017</v>
      </c>
      <c r="Q16" s="172">
        <f>SUM(P$13:$P16)</f>
        <v>2686865.326838268</v>
      </c>
      <c r="R16" s="170"/>
      <c r="S16" s="266"/>
      <c r="T16" s="167">
        <f t="shared" si="1"/>
        <v>3</v>
      </c>
      <c r="U16" s="217">
        <v>4</v>
      </c>
      <c r="V16" s="168">
        <f t="shared" si="7"/>
        <v>6708000</v>
      </c>
      <c r="W16" s="169">
        <f t="shared" si="7"/>
        <v>3871200</v>
      </c>
      <c r="X16" s="170">
        <f t="shared" si="8"/>
        <v>2836800</v>
      </c>
      <c r="Y16" s="170">
        <f t="shared" si="2"/>
        <v>2596073.8592530428</v>
      </c>
      <c r="Z16" s="172">
        <f>SUM($Y$13:Y16)</f>
        <v>-15916067.15309496</v>
      </c>
    </row>
    <row r="17" spans="2:26">
      <c r="B17" s="266"/>
      <c r="C17" s="167">
        <v>4</v>
      </c>
      <c r="D17" s="217">
        <v>5</v>
      </c>
      <c r="E17" s="168">
        <f t="shared" ref="E17:E18" si="9">E16</f>
        <v>6708000</v>
      </c>
      <c r="F17" s="168">
        <f t="shared" ref="F17:F18" si="10">F16</f>
        <v>3871200</v>
      </c>
      <c r="G17" s="170">
        <f t="shared" si="3"/>
        <v>2836800</v>
      </c>
      <c r="H17" s="171">
        <f t="shared" si="4"/>
        <v>2447048.5995409968</v>
      </c>
      <c r="I17" s="170"/>
      <c r="J17" s="266"/>
      <c r="K17" s="167">
        <v>4</v>
      </c>
      <c r="L17" s="217">
        <v>5</v>
      </c>
      <c r="M17" s="168">
        <f t="shared" si="5"/>
        <v>6708000</v>
      </c>
      <c r="N17" s="169">
        <f t="shared" ref="N17:N18" si="11">N16</f>
        <v>3721200</v>
      </c>
      <c r="O17" s="170">
        <f t="shared" si="6"/>
        <v>2986800</v>
      </c>
      <c r="P17" s="170">
        <f t="shared" si="0"/>
        <v>2653733.1147145797</v>
      </c>
      <c r="Q17" s="172">
        <f>SUM(P$13:$P17)</f>
        <v>5340598.4415528476</v>
      </c>
      <c r="R17" s="170"/>
      <c r="S17" s="266"/>
      <c r="T17" s="167">
        <f t="shared" si="1"/>
        <v>4</v>
      </c>
      <c r="U17" s="217">
        <v>5</v>
      </c>
      <c r="V17" s="168">
        <f t="shared" si="7"/>
        <v>6708000</v>
      </c>
      <c r="W17" s="169">
        <f t="shared" si="7"/>
        <v>3871200</v>
      </c>
      <c r="X17" s="170">
        <f t="shared" si="8"/>
        <v>2836800</v>
      </c>
      <c r="Y17" s="170">
        <f t="shared" si="2"/>
        <v>2520460.0575272264</v>
      </c>
      <c r="Z17" s="172">
        <f>SUM($Y$13:Y17)</f>
        <v>-13395607.095567733</v>
      </c>
    </row>
    <row r="18" spans="2:26">
      <c r="B18" s="266"/>
      <c r="C18" s="167">
        <f t="shared" ref="C18" si="12">1+C17</f>
        <v>5</v>
      </c>
      <c r="D18" s="217">
        <v>6</v>
      </c>
      <c r="E18" s="168">
        <f t="shared" si="9"/>
        <v>6708000</v>
      </c>
      <c r="F18" s="168">
        <f t="shared" si="10"/>
        <v>3871200</v>
      </c>
      <c r="G18" s="170">
        <f t="shared" si="3"/>
        <v>2836800</v>
      </c>
      <c r="H18" s="171">
        <f t="shared" si="4"/>
        <v>2375775.339360191</v>
      </c>
      <c r="I18" s="170"/>
      <c r="J18" s="266"/>
      <c r="K18" s="167">
        <f t="shared" ref="K18" si="13">1+K17</f>
        <v>5</v>
      </c>
      <c r="L18" s="217">
        <v>6</v>
      </c>
      <c r="M18" s="168">
        <f t="shared" si="5"/>
        <v>6708000</v>
      </c>
      <c r="N18" s="169">
        <f t="shared" si="11"/>
        <v>3721200</v>
      </c>
      <c r="O18" s="170">
        <f t="shared" si="6"/>
        <v>2986800</v>
      </c>
      <c r="P18" s="170">
        <f t="shared" si="0"/>
        <v>2576439.9171986212</v>
      </c>
      <c r="Q18" s="172">
        <f>SUM(P$13:$P18)</f>
        <v>7917038.3587514684</v>
      </c>
      <c r="R18" s="170"/>
      <c r="S18" s="266"/>
      <c r="T18" s="167">
        <f t="shared" si="1"/>
        <v>5</v>
      </c>
      <c r="U18" s="217">
        <v>6</v>
      </c>
      <c r="V18" s="168">
        <f t="shared" si="7"/>
        <v>6708000</v>
      </c>
      <c r="W18" s="169">
        <f t="shared" si="7"/>
        <v>3871200</v>
      </c>
      <c r="X18" s="170">
        <f t="shared" si="8"/>
        <v>2836800</v>
      </c>
      <c r="Y18" s="170">
        <f t="shared" si="2"/>
        <v>2447048.5995409968</v>
      </c>
      <c r="Z18" s="172">
        <f>SUM($Y$13:Y18)</f>
        <v>-10948558.496026736</v>
      </c>
    </row>
    <row r="19" spans="2:26">
      <c r="B19" s="166"/>
      <c r="C19" s="167"/>
      <c r="D19" s="217"/>
      <c r="E19" s="168"/>
      <c r="F19" s="168"/>
      <c r="G19" s="170"/>
      <c r="H19" s="171"/>
      <c r="I19" s="170"/>
      <c r="J19" s="166"/>
      <c r="K19" s="167"/>
      <c r="L19" s="217"/>
      <c r="M19" s="168"/>
      <c r="N19" s="169"/>
      <c r="O19" s="170"/>
      <c r="P19" s="170"/>
      <c r="Q19" s="172"/>
      <c r="R19" s="170"/>
      <c r="S19" s="166"/>
      <c r="T19" s="167"/>
      <c r="U19" s="217"/>
      <c r="V19" s="168"/>
      <c r="W19" s="169"/>
      <c r="X19" s="170"/>
      <c r="Y19" s="170"/>
      <c r="Z19" s="172"/>
    </row>
    <row r="20" spans="2:26" ht="29.25" customHeight="1">
      <c r="B20" s="266" t="s">
        <v>208</v>
      </c>
      <c r="C20" s="214"/>
      <c r="D20" s="218"/>
      <c r="E20" s="168"/>
      <c r="F20" s="168"/>
      <c r="G20" s="170"/>
      <c r="H20" s="171"/>
      <c r="I20" s="170"/>
      <c r="J20" s="266" t="s">
        <v>208</v>
      </c>
      <c r="K20" s="214"/>
      <c r="L20" s="218"/>
      <c r="M20" s="168"/>
      <c r="N20" s="169"/>
      <c r="O20" s="170"/>
      <c r="P20" s="170"/>
      <c r="Q20" s="172"/>
      <c r="R20" s="170"/>
      <c r="S20" s="266" t="s">
        <v>208</v>
      </c>
      <c r="T20" s="173"/>
      <c r="U20" s="218"/>
      <c r="V20" s="168"/>
      <c r="W20" s="169"/>
      <c r="X20" s="170"/>
      <c r="Y20" s="170"/>
      <c r="Z20" s="172"/>
    </row>
    <row r="21" spans="2:26">
      <c r="B21" s="266"/>
      <c r="C21" s="167">
        <v>0</v>
      </c>
      <c r="D21" s="217">
        <v>7</v>
      </c>
      <c r="E21" s="168">
        <v>0</v>
      </c>
      <c r="F21" s="169">
        <f>F18</f>
        <v>3871200</v>
      </c>
      <c r="G21" s="170">
        <f>E21-F21</f>
        <v>-3871200</v>
      </c>
      <c r="H21" s="171">
        <f t="shared" ref="H21:H26" si="14">G21/(1+$H$44)^D21</f>
        <v>-3147639.858712391</v>
      </c>
      <c r="I21" s="170"/>
      <c r="J21" s="266"/>
      <c r="K21" s="167">
        <v>0</v>
      </c>
      <c r="L21" s="217">
        <v>7</v>
      </c>
      <c r="M21" s="168">
        <f>E21</f>
        <v>0</v>
      </c>
      <c r="N21" s="169">
        <f>N15</f>
        <v>3721200</v>
      </c>
      <c r="O21" s="170">
        <f>M21-N21</f>
        <v>-3721200</v>
      </c>
      <c r="P21" s="170">
        <f t="shared" ref="P21:P26" si="15">O21/(1+$P$44)^K21</f>
        <v>-3721200</v>
      </c>
      <c r="Q21" s="172">
        <f>SUM(P$13:$P21)</f>
        <v>4195838.3587514684</v>
      </c>
      <c r="R21" s="170"/>
      <c r="S21" s="266"/>
      <c r="T21" s="167">
        <f>C21</f>
        <v>0</v>
      </c>
      <c r="U21" s="217">
        <v>7</v>
      </c>
      <c r="V21" s="168">
        <f>E21</f>
        <v>0</v>
      </c>
      <c r="W21" s="169">
        <f>F21</f>
        <v>3871200</v>
      </c>
      <c r="X21" s="170">
        <f>V21-W21</f>
        <v>-3871200</v>
      </c>
      <c r="Y21" s="170">
        <f t="shared" ref="Y21:Y26" si="16">X21/(1+$Y$44)^T21</f>
        <v>-3871200</v>
      </c>
      <c r="Z21" s="172">
        <f>SUM($Y$13:Y21)</f>
        <v>-14819758.496026736</v>
      </c>
    </row>
    <row r="22" spans="2:26">
      <c r="B22" s="266"/>
      <c r="C22" s="167">
        <v>1</v>
      </c>
      <c r="D22" s="217">
        <v>8</v>
      </c>
      <c r="E22" s="168">
        <f>E14</f>
        <v>5366400</v>
      </c>
      <c r="F22" s="169">
        <f>F21</f>
        <v>3871200</v>
      </c>
      <c r="G22" s="170">
        <f t="shared" ref="G22:G26" si="17">E22-F22</f>
        <v>1495200</v>
      </c>
      <c r="H22" s="171">
        <f t="shared" si="14"/>
        <v>1180324.6871461968</v>
      </c>
      <c r="I22" s="170"/>
      <c r="J22" s="266"/>
      <c r="K22" s="167">
        <v>1</v>
      </c>
      <c r="L22" s="217">
        <v>8</v>
      </c>
      <c r="M22" s="168">
        <f t="shared" ref="M22:M26" si="18">E22</f>
        <v>5366400</v>
      </c>
      <c r="N22" s="169">
        <f>N21</f>
        <v>3721200</v>
      </c>
      <c r="O22" s="170">
        <f t="shared" ref="O22:O26" si="19">M22-N22</f>
        <v>1645200</v>
      </c>
      <c r="P22" s="170">
        <f t="shared" si="15"/>
        <v>1597281.5533980583</v>
      </c>
      <c r="Q22" s="172">
        <f>SUM(P$13:$P22)</f>
        <v>5793119.9121495262</v>
      </c>
      <c r="R22" s="170"/>
      <c r="S22" s="266"/>
      <c r="T22" s="167">
        <f t="shared" ref="T22:T24" si="20">C22</f>
        <v>1</v>
      </c>
      <c r="U22" s="217">
        <v>8</v>
      </c>
      <c r="V22" s="168">
        <f t="shared" ref="V22:V26" si="21">E22</f>
        <v>5366400</v>
      </c>
      <c r="W22" s="169">
        <f t="shared" ref="W22:W26" si="22">F22</f>
        <v>3871200</v>
      </c>
      <c r="X22" s="170">
        <f t="shared" ref="X22:X26" si="23">V22-W22</f>
        <v>1495200</v>
      </c>
      <c r="Y22" s="170">
        <f t="shared" si="16"/>
        <v>1451650.4854368931</v>
      </c>
      <c r="Z22" s="172">
        <f>SUM($Y$13:Y22)</f>
        <v>-13368108.010589842</v>
      </c>
    </row>
    <row r="23" spans="2:26">
      <c r="B23" s="266"/>
      <c r="C23" s="167">
        <v>2</v>
      </c>
      <c r="D23" s="217">
        <v>9</v>
      </c>
      <c r="E23" s="168">
        <f t="shared" ref="E23:E26" si="24">E15</f>
        <v>6708000</v>
      </c>
      <c r="F23" s="169">
        <f t="shared" ref="F23:F26" si="25">F22</f>
        <v>3871200</v>
      </c>
      <c r="G23" s="170">
        <f t="shared" si="17"/>
        <v>2836800</v>
      </c>
      <c r="H23" s="171">
        <f t="shared" si="14"/>
        <v>2174170.986312401</v>
      </c>
      <c r="I23" s="170"/>
      <c r="J23" s="266"/>
      <c r="K23" s="167">
        <v>2</v>
      </c>
      <c r="L23" s="217">
        <v>9</v>
      </c>
      <c r="M23" s="168">
        <f t="shared" si="18"/>
        <v>6708000</v>
      </c>
      <c r="N23" s="169">
        <f t="shared" ref="N23:N26" si="26">N22</f>
        <v>3721200</v>
      </c>
      <c r="O23" s="170">
        <f t="shared" si="19"/>
        <v>2986800</v>
      </c>
      <c r="P23" s="170">
        <f t="shared" si="15"/>
        <v>2815345.4614006975</v>
      </c>
      <c r="Q23" s="172">
        <f>SUM(P$13:$P23)</f>
        <v>8608465.3735502232</v>
      </c>
      <c r="R23" s="170"/>
      <c r="S23" s="266"/>
      <c r="T23" s="167">
        <f t="shared" si="20"/>
        <v>2</v>
      </c>
      <c r="U23" s="217">
        <v>9</v>
      </c>
      <c r="V23" s="168">
        <f t="shared" si="21"/>
        <v>6708000</v>
      </c>
      <c r="W23" s="169">
        <f t="shared" si="22"/>
        <v>3871200</v>
      </c>
      <c r="X23" s="170">
        <f t="shared" si="23"/>
        <v>2836800</v>
      </c>
      <c r="Y23" s="170">
        <f t="shared" si="16"/>
        <v>2673956.0750306346</v>
      </c>
      <c r="Z23" s="172">
        <f>SUM($Y$13:Y23)</f>
        <v>-10694151.935559208</v>
      </c>
    </row>
    <row r="24" spans="2:26">
      <c r="B24" s="266"/>
      <c r="C24" s="167">
        <v>3</v>
      </c>
      <c r="D24" s="217">
        <v>10</v>
      </c>
      <c r="E24" s="168">
        <f t="shared" si="24"/>
        <v>6708000</v>
      </c>
      <c r="F24" s="169">
        <f t="shared" si="25"/>
        <v>3871200</v>
      </c>
      <c r="G24" s="170">
        <f t="shared" si="17"/>
        <v>2836800</v>
      </c>
      <c r="H24" s="171">
        <f t="shared" si="14"/>
        <v>2110845.61777903</v>
      </c>
      <c r="I24" s="170"/>
      <c r="J24" s="266"/>
      <c r="K24" s="167">
        <v>3</v>
      </c>
      <c r="L24" s="217">
        <v>10</v>
      </c>
      <c r="M24" s="168">
        <f t="shared" si="18"/>
        <v>6708000</v>
      </c>
      <c r="N24" s="169">
        <f t="shared" si="26"/>
        <v>3721200</v>
      </c>
      <c r="O24" s="170">
        <f t="shared" si="19"/>
        <v>2986800</v>
      </c>
      <c r="P24" s="170">
        <f t="shared" si="15"/>
        <v>2733345.108156017</v>
      </c>
      <c r="Q24" s="172">
        <f>SUM(P$13:$P24)</f>
        <v>11341810.481706239</v>
      </c>
      <c r="R24" s="170"/>
      <c r="S24" s="266"/>
      <c r="T24" s="167">
        <f t="shared" si="20"/>
        <v>3</v>
      </c>
      <c r="U24" s="217">
        <v>10</v>
      </c>
      <c r="V24" s="168">
        <f t="shared" si="21"/>
        <v>6708000</v>
      </c>
      <c r="W24" s="169">
        <f t="shared" si="22"/>
        <v>3871200</v>
      </c>
      <c r="X24" s="170">
        <f t="shared" si="23"/>
        <v>2836800</v>
      </c>
      <c r="Y24" s="170">
        <f t="shared" si="16"/>
        <v>2596073.8592530428</v>
      </c>
      <c r="Z24" s="172">
        <f>SUM($Y$13:Y24)</f>
        <v>-8098078.0763061643</v>
      </c>
    </row>
    <row r="25" spans="2:26">
      <c r="B25" s="266"/>
      <c r="C25" s="167">
        <v>4</v>
      </c>
      <c r="D25" s="217">
        <v>11</v>
      </c>
      <c r="E25" s="168">
        <f t="shared" si="24"/>
        <v>6708000</v>
      </c>
      <c r="F25" s="169">
        <f t="shared" si="25"/>
        <v>3871200</v>
      </c>
      <c r="G25" s="170">
        <f t="shared" si="17"/>
        <v>2836800</v>
      </c>
      <c r="H25" s="171">
        <f t="shared" si="14"/>
        <v>2049364.6774553689</v>
      </c>
      <c r="I25" s="170"/>
      <c r="J25" s="266"/>
      <c r="K25" s="167">
        <v>4</v>
      </c>
      <c r="L25" s="217">
        <v>11</v>
      </c>
      <c r="M25" s="168">
        <f t="shared" si="18"/>
        <v>6708000</v>
      </c>
      <c r="N25" s="169">
        <f t="shared" si="26"/>
        <v>3721200</v>
      </c>
      <c r="O25" s="170">
        <f t="shared" si="19"/>
        <v>2986800</v>
      </c>
      <c r="P25" s="170">
        <f t="shared" si="15"/>
        <v>2653733.1147145797</v>
      </c>
      <c r="Q25" s="172">
        <f>SUM(P$13:$P25)</f>
        <v>13995543.596420819</v>
      </c>
      <c r="R25" s="170"/>
      <c r="S25" s="266"/>
      <c r="T25" s="167">
        <f>C25</f>
        <v>4</v>
      </c>
      <c r="U25" s="217">
        <v>11</v>
      </c>
      <c r="V25" s="168">
        <f t="shared" si="21"/>
        <v>6708000</v>
      </c>
      <c r="W25" s="169">
        <f t="shared" si="22"/>
        <v>3871200</v>
      </c>
      <c r="X25" s="170">
        <f t="shared" si="23"/>
        <v>2836800</v>
      </c>
      <c r="Y25" s="170">
        <f t="shared" si="16"/>
        <v>2520460.0575272264</v>
      </c>
      <c r="Z25" s="172">
        <f>SUM($Y$13:Y25)</f>
        <v>-5577618.0187789379</v>
      </c>
    </row>
    <row r="26" spans="2:26">
      <c r="B26" s="266"/>
      <c r="C26" s="167">
        <f t="shared" ref="C26" si="27">1+C25</f>
        <v>5</v>
      </c>
      <c r="D26" s="217">
        <v>12</v>
      </c>
      <c r="E26" s="168">
        <f t="shared" si="24"/>
        <v>6708000</v>
      </c>
      <c r="F26" s="169">
        <f t="shared" si="25"/>
        <v>3871200</v>
      </c>
      <c r="G26" s="170">
        <f t="shared" si="17"/>
        <v>2836800</v>
      </c>
      <c r="H26" s="171">
        <f t="shared" si="14"/>
        <v>1989674.4441314265</v>
      </c>
      <c r="I26" s="170"/>
      <c r="J26" s="266"/>
      <c r="K26" s="167">
        <f t="shared" ref="K26" si="28">1+K25</f>
        <v>5</v>
      </c>
      <c r="L26" s="217">
        <v>12</v>
      </c>
      <c r="M26" s="168">
        <f t="shared" si="18"/>
        <v>6708000</v>
      </c>
      <c r="N26" s="169">
        <f t="shared" si="26"/>
        <v>3721200</v>
      </c>
      <c r="O26" s="170">
        <f t="shared" si="19"/>
        <v>2986800</v>
      </c>
      <c r="P26" s="170">
        <f t="shared" si="15"/>
        <v>2576439.9171986212</v>
      </c>
      <c r="Q26" s="172">
        <f>SUM(P$13:$P26)</f>
        <v>16571983.51361944</v>
      </c>
      <c r="R26" s="170"/>
      <c r="S26" s="266"/>
      <c r="T26" s="167">
        <f>C26</f>
        <v>5</v>
      </c>
      <c r="U26" s="217">
        <v>12</v>
      </c>
      <c r="V26" s="168">
        <f t="shared" si="21"/>
        <v>6708000</v>
      </c>
      <c r="W26" s="169">
        <f t="shared" si="22"/>
        <v>3871200</v>
      </c>
      <c r="X26" s="170">
        <f t="shared" si="23"/>
        <v>2836800</v>
      </c>
      <c r="Y26" s="170">
        <f t="shared" si="16"/>
        <v>2447048.5995409968</v>
      </c>
      <c r="Z26" s="172">
        <f>SUM($Y$13:Y26)</f>
        <v>-3130569.419237941</v>
      </c>
    </row>
    <row r="27" spans="2:26">
      <c r="B27" s="174"/>
      <c r="C27" s="167"/>
      <c r="D27" s="217"/>
      <c r="E27" s="20"/>
      <c r="F27" s="20"/>
      <c r="G27" s="161"/>
      <c r="H27" s="175"/>
      <c r="I27" s="161"/>
      <c r="J27" s="174"/>
      <c r="K27" s="167"/>
      <c r="L27" s="217"/>
      <c r="M27" s="20"/>
      <c r="N27" s="20"/>
      <c r="O27" s="161"/>
      <c r="P27" s="161"/>
      <c r="Q27" s="176"/>
      <c r="R27" s="161"/>
      <c r="S27" s="174"/>
      <c r="T27" s="167"/>
      <c r="U27" s="217"/>
      <c r="V27" s="20"/>
      <c r="W27" s="20"/>
      <c r="X27" s="161"/>
      <c r="Y27" s="161"/>
      <c r="Z27" s="176"/>
    </row>
    <row r="28" spans="2:26" ht="29.25" customHeight="1">
      <c r="B28" s="266" t="s">
        <v>209</v>
      </c>
      <c r="C28" s="214"/>
      <c r="D28" s="218"/>
      <c r="E28" s="168"/>
      <c r="F28" s="168"/>
      <c r="G28" s="170"/>
      <c r="H28" s="171"/>
      <c r="I28" s="170"/>
      <c r="J28" s="266" t="s">
        <v>209</v>
      </c>
      <c r="K28" s="214"/>
      <c r="L28" s="218"/>
      <c r="M28" s="168"/>
      <c r="N28" s="169"/>
      <c r="O28" s="170"/>
      <c r="P28" s="170"/>
      <c r="Q28" s="172"/>
      <c r="R28" s="170"/>
      <c r="S28" s="266" t="s">
        <v>209</v>
      </c>
      <c r="T28" s="173"/>
      <c r="U28" s="218"/>
      <c r="V28" s="168"/>
      <c r="W28" s="169"/>
      <c r="X28" s="170"/>
      <c r="Y28" s="170"/>
      <c r="Z28" s="172"/>
    </row>
    <row r="29" spans="2:26">
      <c r="B29" s="266"/>
      <c r="C29" s="167">
        <v>0</v>
      </c>
      <c r="D29" s="217">
        <v>13</v>
      </c>
      <c r="E29" s="168">
        <v>0</v>
      </c>
      <c r="F29" s="169">
        <f>F26</f>
        <v>3871200</v>
      </c>
      <c r="G29" s="170">
        <f>E29-F29</f>
        <v>-3871200</v>
      </c>
      <c r="H29" s="171">
        <f t="shared" ref="H29:H34" si="29">G29/(1+$H$44)^D29</f>
        <v>-2636098.8273815904</v>
      </c>
      <c r="I29" s="170"/>
      <c r="J29" s="266"/>
      <c r="K29" s="167">
        <f>C29</f>
        <v>0</v>
      </c>
      <c r="L29" s="217">
        <v>13</v>
      </c>
      <c r="M29" s="168">
        <f>E29</f>
        <v>0</v>
      </c>
      <c r="N29" s="169">
        <f>N23</f>
        <v>3721200</v>
      </c>
      <c r="O29" s="170">
        <f>M29-N29</f>
        <v>-3721200</v>
      </c>
      <c r="P29" s="170">
        <f t="shared" ref="P29:P34" si="30">O29/(1+$P$44)^K29</f>
        <v>-3721200</v>
      </c>
      <c r="Q29" s="172">
        <f>SUM(P$13:$P29)</f>
        <v>12850783.51361944</v>
      </c>
      <c r="R29" s="170"/>
      <c r="S29" s="266"/>
      <c r="T29" s="167">
        <f>C29</f>
        <v>0</v>
      </c>
      <c r="U29" s="217">
        <v>13</v>
      </c>
      <c r="V29" s="168">
        <f>E29</f>
        <v>0</v>
      </c>
      <c r="W29" s="169">
        <f>F29</f>
        <v>3871200</v>
      </c>
      <c r="X29" s="170">
        <f>V29-W29</f>
        <v>-3871200</v>
      </c>
      <c r="Y29" s="170">
        <f t="shared" ref="Y29:Y34" si="31">X29/(1+$Y$44)^T29</f>
        <v>-3871200</v>
      </c>
      <c r="Z29" s="172">
        <f>SUM($Y$13:Y29)</f>
        <v>-7001769.4192379415</v>
      </c>
    </row>
    <row r="30" spans="2:26">
      <c r="B30" s="266"/>
      <c r="C30" s="167">
        <v>1</v>
      </c>
      <c r="D30" s="217">
        <v>14</v>
      </c>
      <c r="E30" s="168">
        <f>E22</f>
        <v>5366400</v>
      </c>
      <c r="F30" s="169">
        <f>F29</f>
        <v>3871200</v>
      </c>
      <c r="G30" s="170">
        <f t="shared" ref="G30:G34" si="32">E30-F30</f>
        <v>1495200</v>
      </c>
      <c r="H30" s="171">
        <f t="shared" si="29"/>
        <v>988503.34325999953</v>
      </c>
      <c r="I30" s="170"/>
      <c r="J30" s="266"/>
      <c r="K30" s="167">
        <f t="shared" ref="K30:K32" si="33">C30</f>
        <v>1</v>
      </c>
      <c r="L30" s="217">
        <v>14</v>
      </c>
      <c r="M30" s="168">
        <f t="shared" ref="M30:M34" si="34">E30</f>
        <v>5366400</v>
      </c>
      <c r="N30" s="169">
        <f>N29</f>
        <v>3721200</v>
      </c>
      <c r="O30" s="170">
        <f t="shared" ref="O30:O34" si="35">M30-N30</f>
        <v>1645200</v>
      </c>
      <c r="P30" s="170">
        <f t="shared" si="30"/>
        <v>1597281.5533980583</v>
      </c>
      <c r="Q30" s="172">
        <f>SUM(P$13:$P30)</f>
        <v>14448065.067017497</v>
      </c>
      <c r="R30" s="170"/>
      <c r="S30" s="266"/>
      <c r="T30" s="167">
        <f t="shared" ref="T30:T32" si="36">C30</f>
        <v>1</v>
      </c>
      <c r="U30" s="217">
        <v>14</v>
      </c>
      <c r="V30" s="168">
        <f t="shared" ref="V30:V34" si="37">E30</f>
        <v>5366400</v>
      </c>
      <c r="W30" s="169">
        <f t="shared" ref="W30:W34" si="38">F30</f>
        <v>3871200</v>
      </c>
      <c r="X30" s="170">
        <f t="shared" ref="X30:X34" si="39">V30-W30</f>
        <v>1495200</v>
      </c>
      <c r="Y30" s="170">
        <f t="shared" si="31"/>
        <v>1451650.4854368931</v>
      </c>
      <c r="Z30" s="172">
        <f>SUM($Y$13:Y30)</f>
        <v>-5550118.9338010484</v>
      </c>
    </row>
    <row r="31" spans="2:26">
      <c r="B31" s="266"/>
      <c r="C31" s="167">
        <v>2</v>
      </c>
      <c r="D31" s="217">
        <v>15</v>
      </c>
      <c r="E31" s="168">
        <f t="shared" ref="E31:E34" si="40">E23</f>
        <v>6708000</v>
      </c>
      <c r="F31" s="169">
        <f t="shared" ref="F31:F34" si="41">F30</f>
        <v>3871200</v>
      </c>
      <c r="G31" s="170">
        <f t="shared" si="32"/>
        <v>2836800</v>
      </c>
      <c r="H31" s="171">
        <f t="shared" si="29"/>
        <v>1820833.9723750087</v>
      </c>
      <c r="I31" s="170"/>
      <c r="J31" s="266"/>
      <c r="K31" s="167">
        <f t="shared" si="33"/>
        <v>2</v>
      </c>
      <c r="L31" s="217">
        <v>15</v>
      </c>
      <c r="M31" s="168">
        <f t="shared" si="34"/>
        <v>6708000</v>
      </c>
      <c r="N31" s="169">
        <f t="shared" ref="N31:N34" si="42">N30</f>
        <v>3721200</v>
      </c>
      <c r="O31" s="170">
        <f t="shared" si="35"/>
        <v>2986800</v>
      </c>
      <c r="P31" s="170">
        <f t="shared" si="30"/>
        <v>2815345.4614006975</v>
      </c>
      <c r="Q31" s="172">
        <f>SUM(P$13:$P31)</f>
        <v>17263410.528418195</v>
      </c>
      <c r="R31" s="170"/>
      <c r="S31" s="266"/>
      <c r="T31" s="167">
        <f t="shared" si="36"/>
        <v>2</v>
      </c>
      <c r="U31" s="217">
        <v>15</v>
      </c>
      <c r="V31" s="168">
        <f t="shared" si="37"/>
        <v>6708000</v>
      </c>
      <c r="W31" s="169">
        <f t="shared" si="38"/>
        <v>3871200</v>
      </c>
      <c r="X31" s="170">
        <f t="shared" si="39"/>
        <v>2836800</v>
      </c>
      <c r="Y31" s="170">
        <f t="shared" si="31"/>
        <v>2673956.0750306346</v>
      </c>
      <c r="Z31" s="172">
        <f>SUM($Y$13:Y31)</f>
        <v>-2876162.8587704138</v>
      </c>
    </row>
    <row r="32" spans="2:26">
      <c r="B32" s="266"/>
      <c r="C32" s="167">
        <v>3</v>
      </c>
      <c r="D32" s="217">
        <v>16</v>
      </c>
      <c r="E32" s="168">
        <f t="shared" si="40"/>
        <v>6708000</v>
      </c>
      <c r="F32" s="169">
        <f t="shared" si="41"/>
        <v>3871200</v>
      </c>
      <c r="G32" s="170">
        <f t="shared" si="32"/>
        <v>2836800</v>
      </c>
      <c r="H32" s="171">
        <f t="shared" si="29"/>
        <v>1767799.9731796205</v>
      </c>
      <c r="I32" s="170"/>
      <c r="J32" s="266"/>
      <c r="K32" s="167">
        <f t="shared" si="33"/>
        <v>3</v>
      </c>
      <c r="L32" s="217">
        <v>16</v>
      </c>
      <c r="M32" s="168">
        <f t="shared" si="34"/>
        <v>6708000</v>
      </c>
      <c r="N32" s="169">
        <f t="shared" si="42"/>
        <v>3721200</v>
      </c>
      <c r="O32" s="170">
        <f t="shared" si="35"/>
        <v>2986800</v>
      </c>
      <c r="P32" s="170">
        <f t="shared" si="30"/>
        <v>2733345.108156017</v>
      </c>
      <c r="Q32" s="172">
        <f>SUM(P$13:$P32)</f>
        <v>19996755.636574212</v>
      </c>
      <c r="R32" s="170"/>
      <c r="S32" s="266"/>
      <c r="T32" s="167">
        <f t="shared" si="36"/>
        <v>3</v>
      </c>
      <c r="U32" s="217">
        <v>16</v>
      </c>
      <c r="V32" s="168">
        <f t="shared" si="37"/>
        <v>6708000</v>
      </c>
      <c r="W32" s="169">
        <f t="shared" si="38"/>
        <v>3871200</v>
      </c>
      <c r="X32" s="170">
        <f t="shared" si="39"/>
        <v>2836800</v>
      </c>
      <c r="Y32" s="170">
        <f t="shared" si="31"/>
        <v>2596073.8592530428</v>
      </c>
      <c r="Z32" s="172">
        <f>SUM($Y$13:Y32)</f>
        <v>-280088.99951737095</v>
      </c>
    </row>
    <row r="33" spans="2:26">
      <c r="B33" s="266"/>
      <c r="C33" s="167">
        <v>4</v>
      </c>
      <c r="D33" s="217">
        <v>17</v>
      </c>
      <c r="E33" s="168">
        <f t="shared" si="40"/>
        <v>6708000</v>
      </c>
      <c r="F33" s="169">
        <f t="shared" si="41"/>
        <v>3871200</v>
      </c>
      <c r="G33" s="170">
        <f t="shared" si="32"/>
        <v>2836800</v>
      </c>
      <c r="H33" s="171">
        <f t="shared" si="29"/>
        <v>1716310.6535724471</v>
      </c>
      <c r="I33" s="170"/>
      <c r="J33" s="266"/>
      <c r="K33" s="167">
        <f>C33</f>
        <v>4</v>
      </c>
      <c r="L33" s="217">
        <v>17</v>
      </c>
      <c r="M33" s="168">
        <f t="shared" si="34"/>
        <v>6708000</v>
      </c>
      <c r="N33" s="169">
        <f t="shared" si="42"/>
        <v>3721200</v>
      </c>
      <c r="O33" s="170">
        <f t="shared" si="35"/>
        <v>2986800</v>
      </c>
      <c r="P33" s="170">
        <f t="shared" si="30"/>
        <v>2653733.1147145797</v>
      </c>
      <c r="Q33" s="172">
        <f>SUM(P$13:$P33)</f>
        <v>22650488.751288794</v>
      </c>
      <c r="R33" s="170"/>
      <c r="S33" s="266"/>
      <c r="T33" s="167">
        <f>C33</f>
        <v>4</v>
      </c>
      <c r="U33" s="217">
        <v>17</v>
      </c>
      <c r="V33" s="168">
        <f t="shared" si="37"/>
        <v>6708000</v>
      </c>
      <c r="W33" s="169">
        <f t="shared" si="38"/>
        <v>3871200</v>
      </c>
      <c r="X33" s="170">
        <f t="shared" si="39"/>
        <v>2836800</v>
      </c>
      <c r="Y33" s="170">
        <f t="shared" si="31"/>
        <v>2520460.0575272264</v>
      </c>
      <c r="Z33" s="172">
        <f>SUM($Y$13:Y33)</f>
        <v>2240371.0580098554</v>
      </c>
    </row>
    <row r="34" spans="2:26">
      <c r="B34" s="266"/>
      <c r="C34" s="167">
        <f t="shared" ref="C34" si="43">1+C33</f>
        <v>5</v>
      </c>
      <c r="D34" s="217">
        <v>18</v>
      </c>
      <c r="E34" s="168">
        <f t="shared" si="40"/>
        <v>6708000</v>
      </c>
      <c r="F34" s="169">
        <f t="shared" si="41"/>
        <v>3871200</v>
      </c>
      <c r="G34" s="170">
        <f t="shared" si="32"/>
        <v>2836800</v>
      </c>
      <c r="H34" s="171">
        <f t="shared" si="29"/>
        <v>1666321.0228858709</v>
      </c>
      <c r="I34" s="170"/>
      <c r="J34" s="266"/>
      <c r="K34" s="167">
        <f>C34</f>
        <v>5</v>
      </c>
      <c r="L34" s="217">
        <v>18</v>
      </c>
      <c r="M34" s="168">
        <f t="shared" si="34"/>
        <v>6708000</v>
      </c>
      <c r="N34" s="169">
        <f t="shared" si="42"/>
        <v>3721200</v>
      </c>
      <c r="O34" s="170">
        <f t="shared" si="35"/>
        <v>2986800</v>
      </c>
      <c r="P34" s="170">
        <f t="shared" si="30"/>
        <v>2576439.9171986212</v>
      </c>
      <c r="Q34" s="172">
        <f>SUM(P$13:$P34)</f>
        <v>25226928.668487415</v>
      </c>
      <c r="R34" s="170"/>
      <c r="S34" s="266"/>
      <c r="T34" s="167">
        <f>C34</f>
        <v>5</v>
      </c>
      <c r="U34" s="217">
        <v>18</v>
      </c>
      <c r="V34" s="168">
        <f t="shared" si="37"/>
        <v>6708000</v>
      </c>
      <c r="W34" s="169">
        <f t="shared" si="38"/>
        <v>3871200</v>
      </c>
      <c r="X34" s="170">
        <f t="shared" si="39"/>
        <v>2836800</v>
      </c>
      <c r="Y34" s="170">
        <f t="shared" si="31"/>
        <v>2447048.5995409968</v>
      </c>
      <c r="Z34" s="172">
        <f>SUM($Y$13:Y34)</f>
        <v>4687419.6575508527</v>
      </c>
    </row>
    <row r="35" spans="2:26">
      <c r="B35" s="174"/>
      <c r="C35" s="167"/>
      <c r="D35" s="217"/>
      <c r="E35" s="20"/>
      <c r="F35" s="20"/>
      <c r="G35" s="161"/>
      <c r="H35" s="175"/>
      <c r="I35" s="161"/>
      <c r="J35" s="174"/>
      <c r="K35" s="167"/>
      <c r="L35" s="167"/>
      <c r="M35" s="20"/>
      <c r="N35" s="20"/>
      <c r="O35" s="161"/>
      <c r="P35" s="161"/>
      <c r="Q35" s="176"/>
      <c r="R35" s="161"/>
      <c r="S35" s="177"/>
      <c r="T35" s="167"/>
      <c r="U35" s="167"/>
      <c r="V35" s="20"/>
      <c r="W35" s="20"/>
      <c r="X35" s="161"/>
      <c r="Y35" s="161"/>
      <c r="Z35" s="176"/>
    </row>
    <row r="36" spans="2:26">
      <c r="B36" s="174"/>
      <c r="C36" s="167"/>
      <c r="D36" s="217"/>
      <c r="E36" s="20"/>
      <c r="F36" s="20"/>
      <c r="G36" s="178" t="s">
        <v>163</v>
      </c>
      <c r="H36" s="179">
        <f>'Hop Production'!$E$38</f>
        <v>6.5</v>
      </c>
      <c r="I36" s="180"/>
      <c r="J36" s="174"/>
      <c r="K36" s="167"/>
      <c r="L36" s="167"/>
      <c r="M36" s="20"/>
      <c r="N36" s="20"/>
      <c r="O36" s="178" t="s">
        <v>163</v>
      </c>
      <c r="P36" s="180">
        <f t="shared" ref="P36:P42" si="44">H36</f>
        <v>6.5</v>
      </c>
      <c r="Q36" s="176"/>
      <c r="R36" s="180"/>
      <c r="S36" s="181"/>
      <c r="T36" s="167"/>
      <c r="U36" s="167"/>
      <c r="V36" s="20"/>
      <c r="W36" s="20"/>
      <c r="X36" s="178" t="s">
        <v>163</v>
      </c>
      <c r="Y36" s="180">
        <f t="shared" ref="Y36:Y42" si="45">H36</f>
        <v>6.5</v>
      </c>
      <c r="Z36" s="176"/>
    </row>
    <row r="37" spans="2:26">
      <c r="B37" s="174"/>
      <c r="C37" s="167"/>
      <c r="D37" s="217"/>
      <c r="E37" s="20"/>
      <c r="F37" s="20"/>
      <c r="G37" s="178" t="s">
        <v>164</v>
      </c>
      <c r="H37" s="179">
        <f>'Hop Production'!$E$39</f>
        <v>3.25</v>
      </c>
      <c r="I37" s="180"/>
      <c r="J37" s="174"/>
      <c r="K37" s="167"/>
      <c r="L37" s="167"/>
      <c r="M37" s="20"/>
      <c r="N37" s="20"/>
      <c r="O37" s="178" t="s">
        <v>164</v>
      </c>
      <c r="P37" s="180">
        <f t="shared" si="44"/>
        <v>3.25</v>
      </c>
      <c r="Q37" s="176"/>
      <c r="R37" s="180"/>
      <c r="S37" s="181"/>
      <c r="T37" s="167"/>
      <c r="U37" s="167"/>
      <c r="V37" s="20"/>
      <c r="W37" s="20"/>
      <c r="X37" s="178" t="s">
        <v>164</v>
      </c>
      <c r="Y37" s="180">
        <f t="shared" si="45"/>
        <v>3.25</v>
      </c>
      <c r="Z37" s="176"/>
    </row>
    <row r="38" spans="2:26">
      <c r="B38" s="174"/>
      <c r="C38" s="167"/>
      <c r="D38" s="217"/>
      <c r="E38" s="20"/>
      <c r="F38" s="20"/>
      <c r="G38" s="178" t="s">
        <v>159</v>
      </c>
      <c r="H38" s="182">
        <f>'Hop Production'!$D$35</f>
        <v>1152</v>
      </c>
      <c r="I38" s="183"/>
      <c r="J38" s="174"/>
      <c r="K38" s="167"/>
      <c r="L38" s="167"/>
      <c r="M38" s="20"/>
      <c r="N38" s="20"/>
      <c r="O38" s="178" t="s">
        <v>159</v>
      </c>
      <c r="P38" s="183">
        <f t="shared" si="44"/>
        <v>1152</v>
      </c>
      <c r="Q38" s="176"/>
      <c r="R38" s="183"/>
      <c r="S38" s="184"/>
      <c r="T38" s="167"/>
      <c r="U38" s="167"/>
      <c r="V38" s="20"/>
      <c r="W38" s="20"/>
      <c r="X38" s="178" t="s">
        <v>159</v>
      </c>
      <c r="Y38" s="183">
        <f t="shared" si="45"/>
        <v>1152</v>
      </c>
      <c r="Z38" s="176"/>
    </row>
    <row r="39" spans="2:26">
      <c r="B39" s="174"/>
      <c r="C39" s="167"/>
      <c r="D39" s="217"/>
      <c r="E39" s="20"/>
      <c r="F39" s="20"/>
      <c r="G39" s="178" t="s">
        <v>160</v>
      </c>
      <c r="H39" s="182">
        <f>'Hop Production'!$D$36</f>
        <v>448</v>
      </c>
      <c r="I39" s="183"/>
      <c r="J39" s="174"/>
      <c r="K39" s="167"/>
      <c r="L39" s="167"/>
      <c r="M39" s="20"/>
      <c r="N39" s="20"/>
      <c r="O39" s="178" t="s">
        <v>160</v>
      </c>
      <c r="P39" s="183">
        <f t="shared" si="44"/>
        <v>448</v>
      </c>
      <c r="Q39" s="176"/>
      <c r="R39" s="183"/>
      <c r="S39" s="184"/>
      <c r="T39" s="167"/>
      <c r="U39" s="167"/>
      <c r="V39" s="20"/>
      <c r="W39" s="20"/>
      <c r="X39" s="178" t="s">
        <v>160</v>
      </c>
      <c r="Y39" s="183">
        <f t="shared" si="45"/>
        <v>448</v>
      </c>
      <c r="Z39" s="176"/>
    </row>
    <row r="40" spans="2:26">
      <c r="B40" s="174"/>
      <c r="C40" s="167"/>
      <c r="D40" s="217"/>
      <c r="E40" s="20"/>
      <c r="F40" s="20"/>
      <c r="G40" s="178" t="s">
        <v>161</v>
      </c>
      <c r="H40" s="185">
        <f>'Hop Production'!$E$35</f>
        <v>1440</v>
      </c>
      <c r="I40" s="186"/>
      <c r="J40" s="174"/>
      <c r="K40" s="167"/>
      <c r="L40" s="167"/>
      <c r="M40" s="20"/>
      <c r="N40" s="20"/>
      <c r="O40" s="178" t="s">
        <v>161</v>
      </c>
      <c r="P40" s="183">
        <f t="shared" si="44"/>
        <v>1440</v>
      </c>
      <c r="Q40" s="176"/>
      <c r="R40" s="186"/>
      <c r="S40" s="187"/>
      <c r="T40" s="167"/>
      <c r="U40" s="167"/>
      <c r="V40" s="20"/>
      <c r="W40" s="20"/>
      <c r="X40" s="178" t="s">
        <v>161</v>
      </c>
      <c r="Y40" s="183">
        <f t="shared" si="45"/>
        <v>1440</v>
      </c>
      <c r="Z40" s="176"/>
    </row>
    <row r="41" spans="2:26">
      <c r="B41" s="174"/>
      <c r="C41" s="167"/>
      <c r="D41" s="217"/>
      <c r="E41" s="20"/>
      <c r="F41" s="20"/>
      <c r="G41" s="178" t="s">
        <v>162</v>
      </c>
      <c r="H41" s="185">
        <f>'Hop Production'!$E$36</f>
        <v>560</v>
      </c>
      <c r="I41" s="186"/>
      <c r="J41" s="174"/>
      <c r="K41" s="167"/>
      <c r="L41" s="167"/>
      <c r="M41" s="20"/>
      <c r="N41" s="20"/>
      <c r="O41" s="178" t="s">
        <v>162</v>
      </c>
      <c r="P41" s="183">
        <f t="shared" si="44"/>
        <v>560</v>
      </c>
      <c r="Q41" s="176"/>
      <c r="R41" s="186"/>
      <c r="S41" s="187"/>
      <c r="T41" s="167"/>
      <c r="U41" s="167"/>
      <c r="V41" s="20"/>
      <c r="W41" s="20"/>
      <c r="X41" s="178" t="s">
        <v>162</v>
      </c>
      <c r="Y41" s="183">
        <f t="shared" si="45"/>
        <v>560</v>
      </c>
      <c r="Z41" s="176"/>
    </row>
    <row r="42" spans="2:26">
      <c r="B42" s="174"/>
      <c r="C42" s="167"/>
      <c r="D42" s="217"/>
      <c r="E42" s="20"/>
      <c r="F42" s="20"/>
      <c r="G42" s="178" t="s">
        <v>155</v>
      </c>
      <c r="H42" s="182">
        <v>600</v>
      </c>
      <c r="I42" s="183"/>
      <c r="J42" s="174"/>
      <c r="K42" s="167"/>
      <c r="L42" s="167"/>
      <c r="M42" s="20"/>
      <c r="N42" s="20"/>
      <c r="O42" s="178" t="s">
        <v>155</v>
      </c>
      <c r="P42" s="183">
        <f t="shared" si="44"/>
        <v>600</v>
      </c>
      <c r="Q42" s="176"/>
      <c r="R42" s="183"/>
      <c r="S42" s="184"/>
      <c r="T42" s="167"/>
      <c r="U42" s="167"/>
      <c r="V42" s="20"/>
      <c r="W42" s="20"/>
      <c r="X42" s="178" t="s">
        <v>155</v>
      </c>
      <c r="Y42" s="183">
        <f t="shared" si="45"/>
        <v>600</v>
      </c>
      <c r="Z42" s="176"/>
    </row>
    <row r="43" spans="2:26">
      <c r="B43" s="174"/>
      <c r="C43" s="167"/>
      <c r="D43" s="217"/>
      <c r="E43" s="20"/>
      <c r="F43" s="20"/>
      <c r="G43" s="188" t="s">
        <v>156</v>
      </c>
      <c r="H43" s="189">
        <f>SUM(H13:H34)</f>
        <v>1050742.2492589767</v>
      </c>
      <c r="I43" s="190"/>
      <c r="J43" s="174"/>
      <c r="K43" s="167"/>
      <c r="L43" s="167"/>
      <c r="M43" s="20"/>
      <c r="N43" s="20"/>
      <c r="O43" s="188" t="s">
        <v>157</v>
      </c>
      <c r="P43" s="191">
        <f>L15+(-Q15/P16)</f>
        <v>3.0170047247890719</v>
      </c>
      <c r="Q43" s="176"/>
      <c r="R43" s="190"/>
      <c r="S43" s="192"/>
      <c r="T43" s="167"/>
      <c r="U43" s="167"/>
      <c r="V43" s="20"/>
      <c r="W43" s="20"/>
      <c r="X43" s="188" t="s">
        <v>157</v>
      </c>
      <c r="Y43" s="191">
        <f>U32+(-Z32/Y33)</f>
        <v>16.111126140912607</v>
      </c>
      <c r="Z43" s="176"/>
    </row>
    <row r="44" spans="2:26">
      <c r="B44" s="174"/>
      <c r="C44" s="167"/>
      <c r="D44" s="217"/>
      <c r="E44" s="20"/>
      <c r="F44" s="20"/>
      <c r="G44" s="188" t="s">
        <v>158</v>
      </c>
      <c r="H44" s="193">
        <v>0.03</v>
      </c>
      <c r="I44" s="194"/>
      <c r="J44" s="174"/>
      <c r="K44" s="167"/>
      <c r="L44" s="167"/>
      <c r="M44" s="20"/>
      <c r="N44" s="20"/>
      <c r="O44" s="188" t="s">
        <v>158</v>
      </c>
      <c r="P44" s="194">
        <f>H44</f>
        <v>0.03</v>
      </c>
      <c r="Q44" s="176"/>
      <c r="R44" s="194"/>
      <c r="S44" s="195"/>
      <c r="T44" s="167"/>
      <c r="U44" s="167"/>
      <c r="V44" s="20"/>
      <c r="W44" s="20"/>
      <c r="X44" s="188" t="s">
        <v>158</v>
      </c>
      <c r="Y44" s="194">
        <f>H44</f>
        <v>0.03</v>
      </c>
      <c r="Z44" s="176"/>
    </row>
    <row r="45" spans="2:26">
      <c r="B45" s="196"/>
      <c r="C45" s="197"/>
      <c r="D45" s="219"/>
      <c r="E45" s="198"/>
      <c r="F45" s="198"/>
      <c r="G45" s="198"/>
      <c r="H45" s="205"/>
      <c r="I45" s="199"/>
      <c r="J45" s="200"/>
      <c r="K45" s="270"/>
      <c r="L45" s="270"/>
      <c r="M45" s="270"/>
      <c r="N45" s="270"/>
      <c r="O45" s="270"/>
      <c r="P45" s="270"/>
      <c r="Q45" s="271"/>
      <c r="R45" s="199"/>
      <c r="S45" s="201"/>
      <c r="T45" s="197"/>
      <c r="U45" s="197"/>
      <c r="V45" s="198"/>
      <c r="W45" s="198"/>
      <c r="X45" s="198"/>
      <c r="Y45" s="198"/>
      <c r="Z45" s="202"/>
    </row>
    <row r="46" spans="2:26" ht="29.25" customHeight="1">
      <c r="B46" s="268"/>
      <c r="C46" s="268"/>
      <c r="D46" s="268"/>
      <c r="E46" s="268"/>
      <c r="F46" s="268"/>
      <c r="G46" s="268"/>
      <c r="H46" s="268"/>
      <c r="I46" s="203"/>
      <c r="J46" s="272"/>
      <c r="K46" s="272"/>
      <c r="L46" s="272"/>
      <c r="M46" s="272"/>
      <c r="N46" s="272"/>
      <c r="O46" s="272"/>
      <c r="P46" s="272"/>
      <c r="Q46" s="272"/>
      <c r="R46" s="203"/>
      <c r="S46" s="268"/>
      <c r="T46" s="268"/>
      <c r="U46" s="268"/>
      <c r="V46" s="268"/>
      <c r="W46" s="268"/>
      <c r="X46" s="268"/>
      <c r="Y46" s="268"/>
      <c r="Z46" s="268"/>
    </row>
    <row r="47" spans="2:26" ht="30" customHeight="1">
      <c r="B47" s="269"/>
      <c r="C47" s="269"/>
      <c r="D47" s="269"/>
      <c r="E47" s="269"/>
      <c r="F47" s="269"/>
      <c r="G47" s="269"/>
      <c r="H47" s="269"/>
      <c r="I47" s="203"/>
      <c r="J47" s="268"/>
      <c r="K47" s="268"/>
      <c r="L47" s="268"/>
      <c r="M47" s="268"/>
      <c r="N47" s="268"/>
      <c r="O47" s="268"/>
      <c r="P47" s="268"/>
      <c r="Q47" s="268"/>
      <c r="R47" s="203"/>
      <c r="S47" s="269"/>
      <c r="T47" s="269"/>
      <c r="U47" s="269"/>
      <c r="V47" s="269"/>
      <c r="W47" s="269"/>
      <c r="X47" s="269"/>
      <c r="Y47" s="269"/>
      <c r="Z47" s="269"/>
    </row>
    <row r="48" spans="2:26">
      <c r="G48" s="204"/>
      <c r="H48" s="204"/>
      <c r="I48" s="204"/>
      <c r="O48" s="204"/>
      <c r="P48" s="204"/>
      <c r="R48" s="204"/>
      <c r="S48" s="204"/>
      <c r="X48" s="204"/>
      <c r="Y48" s="204"/>
    </row>
  </sheetData>
  <sheetProtection sheet="1" objects="1" scenarios="1"/>
  <protectedRanges>
    <protectedRange sqref="A36:XFD47" name="Range1"/>
  </protectedRanges>
  <mergeCells count="16">
    <mergeCell ref="S46:Z46"/>
    <mergeCell ref="S47:Z47"/>
    <mergeCell ref="K45:Q45"/>
    <mergeCell ref="B47:H47"/>
    <mergeCell ref="B46:H46"/>
    <mergeCell ref="J47:Q47"/>
    <mergeCell ref="J46:Q46"/>
    <mergeCell ref="B28:B34"/>
    <mergeCell ref="J28:J34"/>
    <mergeCell ref="S28:S34"/>
    <mergeCell ref="B12:B18"/>
    <mergeCell ref="B20:B26"/>
    <mergeCell ref="J12:J18"/>
    <mergeCell ref="J20:J26"/>
    <mergeCell ref="S12:S18"/>
    <mergeCell ref="S20:S26"/>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Assumptions</vt:lpstr>
      <vt:lpstr>Establishment</vt:lpstr>
      <vt:lpstr>Hop Production</vt:lpstr>
      <vt:lpstr>Price&amp;Yield Analysis</vt:lpstr>
      <vt:lpstr>App1. Machinery Etc</vt:lpstr>
      <vt:lpstr>App2. Capital Req</vt:lpstr>
      <vt:lpstr>App3. Amortization calc</vt:lpstr>
      <vt:lpstr>App4. NPV&amp;Payback Pd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Suzette P. Galinato</dc:creator>
  <cp:lastModifiedBy>Eleanor Monshing</cp:lastModifiedBy>
  <cp:lastPrinted>2015-02-20T19:18:52Z</cp:lastPrinted>
  <dcterms:created xsi:type="dcterms:W3CDTF">2015-02-17T19:44:11Z</dcterms:created>
  <dcterms:modified xsi:type="dcterms:W3CDTF">2016-11-03T17:32:49Z</dcterms:modified>
</cp:coreProperties>
</file>