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C:\Users\ageor\Dropbox (HGA)\Hop Team Folder\Statistics\Cost of Production\"/>
    </mc:Choice>
  </mc:AlternateContent>
  <bookViews>
    <workbookView xWindow="0" yWindow="0" windowWidth="23040" windowHeight="7896" xr2:uid="{00000000-000D-0000-FFFF-FFFF00000000}"/>
  </bookViews>
  <sheets>
    <sheet name="Assumptions" sheetId="1" r:id="rId1"/>
    <sheet name="Establishment" sheetId="2" r:id="rId2"/>
    <sheet name="Hop Production" sheetId="3" r:id="rId3"/>
    <sheet name="Price&amp;Yield Analysis" sheetId="4" r:id="rId4"/>
    <sheet name="Machinery Etc" sheetId="5" r:id="rId5"/>
    <sheet name="App1. Capital Req" sheetId="6" r:id="rId6"/>
    <sheet name="App2. Amortization calc" sheetId="7" r:id="rId7"/>
    <sheet name="App3. NPV&amp;Payback Pd" sheetId="8" r:id="rId8"/>
  </sheets>
  <definedNames>
    <definedName name="_xlnm.Print_Area" localSheetId="1">Establishment!$B$2:$D$29</definedName>
    <definedName name="_xlnm.Print_Area" localSheetId="2">'Hop Production'!$B$2:$F$42</definedName>
    <definedName name="solver_adj" localSheetId="7" hidden="1">'App3. NPV&amp;Payback Pd'!$H$53</definedName>
    <definedName name="solver_cvg" localSheetId="7" hidden="1">0.0001</definedName>
    <definedName name="solver_drv" localSheetId="7" hidden="1">1</definedName>
    <definedName name="solver_eng" localSheetId="7" hidden="1">1</definedName>
    <definedName name="solver_est" localSheetId="7" hidden="1">1</definedName>
    <definedName name="solver_itr" localSheetId="7" hidden="1">100</definedName>
    <definedName name="solver_lin" localSheetId="7" hidden="1">2</definedName>
    <definedName name="solver_mip" localSheetId="7" hidden="1">2147483647</definedName>
    <definedName name="solver_mni" localSheetId="7" hidden="1">30</definedName>
    <definedName name="solver_mrt" localSheetId="7" hidden="1">0.075</definedName>
    <definedName name="solver_msl" localSheetId="7" hidden="1">2</definedName>
    <definedName name="solver_neg" localSheetId="7" hidden="1">2</definedName>
    <definedName name="solver_nod" localSheetId="7" hidden="1">2147483647</definedName>
    <definedName name="solver_num" localSheetId="7" hidden="1">0</definedName>
    <definedName name="solver_nwt" localSheetId="7" hidden="1">1</definedName>
    <definedName name="solver_opt" localSheetId="7" hidden="1">'App3. NPV&amp;Payback Pd'!$H$52</definedName>
    <definedName name="solver_pre" localSheetId="7" hidden="1">0.000001</definedName>
    <definedName name="solver_rbv" localSheetId="7" hidden="1">1</definedName>
    <definedName name="solver_rlx" localSheetId="7" hidden="1">2</definedName>
    <definedName name="solver_rsd" localSheetId="7" hidden="1">0</definedName>
    <definedName name="solver_scl" localSheetId="7" hidden="1">2</definedName>
    <definedName name="solver_sho" localSheetId="7" hidden="1">2</definedName>
    <definedName name="solver_ssz" localSheetId="7" hidden="1">100</definedName>
    <definedName name="solver_tim" localSheetId="7" hidden="1">100</definedName>
    <definedName name="solver_tol" localSheetId="7" hidden="1">0.05</definedName>
    <definedName name="solver_typ" localSheetId="7" hidden="1">3</definedName>
    <definedName name="solver_val" localSheetId="7" hidden="1">0</definedName>
    <definedName name="solver_ver" localSheetId="7" hidden="1">3</definedName>
    <definedName name="Z_4DF746F6_C3F2_4BEF_B84D_60D120277636_.wvu.PrintArea" localSheetId="1" hidden="1">Establishment!$B$2:$D$29</definedName>
    <definedName name="Z_4DF746F6_C3F2_4BEF_B84D_60D120277636_.wvu.PrintArea" localSheetId="2" hidden="1">'Hop Production'!$B$2:$F$42</definedName>
    <definedName name="Z_76B766A5_443C_4C54_86C8_F5C661F06BFC_.wvu.PrintArea" localSheetId="1" hidden="1">Establishment!$B$2:$D$29</definedName>
    <definedName name="Z_76B766A5_443C_4C54_86C8_F5C661F06BFC_.wvu.PrintArea" localSheetId="2" hidden="1">'Hop Production'!$B$2:$F$42</definedName>
  </definedNames>
  <calcPr calcId="171027"/>
  <customWorkbookViews>
    <customWorkbookView name="Suzette P. Galinato - Personal View" guid="{76B766A5-443C-4C54-86C8-F5C661F06BFC}" mergeInterval="0" personalView="1" maximized="1" xWindow="1" yWindow="1" windowWidth="1530" windowHeight="830" activeSheetId="2"/>
    <customWorkbookView name="Mangiapani, Christina L - Personal View" guid="{4DF746F6-C3F2-4BEF-B84D-60D120277636}" mergeInterval="0" personalView="1" xWindow="1928" yWindow="8" windowWidth="1854" windowHeight="1046" activeSheetId="6"/>
  </customWorkbookViews>
</workbook>
</file>

<file path=xl/calcChain.xml><?xml version="1.0" encoding="utf-8"?>
<calcChain xmlns="http://schemas.openxmlformats.org/spreadsheetml/2006/main">
  <c r="T41" i="8" l="1"/>
  <c r="T34" i="8"/>
  <c r="T26" i="8"/>
  <c r="T18" i="8"/>
  <c r="Q46" i="8"/>
  <c r="Q45" i="8"/>
  <c r="D38" i="5"/>
  <c r="E38" i="5" s="1"/>
  <c r="C41" i="8"/>
  <c r="K41" i="8" s="1"/>
  <c r="K40" i="8"/>
  <c r="K39" i="8"/>
  <c r="K38" i="8"/>
  <c r="K37" i="8"/>
  <c r="V36" i="8"/>
  <c r="M36" i="8"/>
  <c r="K36" i="8"/>
  <c r="H38" i="5" l="1"/>
  <c r="I38" i="5"/>
  <c r="C11" i="2"/>
  <c r="C12" i="2" s="1"/>
  <c r="E35" i="3"/>
  <c r="Q49" i="8" s="1"/>
  <c r="K26" i="8" l="1"/>
  <c r="K18" i="8"/>
  <c r="C34" i="8" l="1"/>
  <c r="K34" i="8" s="1"/>
  <c r="K33" i="8"/>
  <c r="K32" i="8"/>
  <c r="K31" i="8"/>
  <c r="K30" i="8"/>
  <c r="V29" i="8"/>
  <c r="M29" i="8"/>
  <c r="K29" i="8"/>
  <c r="G25" i="5" l="1"/>
  <c r="G24" i="5"/>
  <c r="G23" i="5"/>
  <c r="E25" i="5"/>
  <c r="I25" i="5" l="1"/>
  <c r="H25" i="5"/>
  <c r="B9" i="4"/>
  <c r="B10" i="4" s="1"/>
  <c r="B11" i="4" s="1"/>
  <c r="B12" i="4" s="1"/>
  <c r="B7" i="4"/>
  <c r="B6" i="4" s="1"/>
  <c r="B5" i="4" s="1"/>
  <c r="C26" i="8" l="1"/>
  <c r="V21" i="8"/>
  <c r="M21" i="8"/>
  <c r="Z51" i="8"/>
  <c r="C6" i="6"/>
  <c r="H46" i="8"/>
  <c r="Z46" i="8" s="1"/>
  <c r="H45" i="8"/>
  <c r="Z53" i="8"/>
  <c r="Q53" i="8"/>
  <c r="V13" i="8"/>
  <c r="M13" i="8"/>
  <c r="Z45" i="8" l="1"/>
  <c r="C18" i="8" l="1"/>
  <c r="D24" i="3" l="1"/>
  <c r="D23" i="3"/>
  <c r="E36" i="3"/>
  <c r="Q50" i="8" s="1"/>
  <c r="H49" i="8"/>
  <c r="E5" i="5"/>
  <c r="E6" i="5"/>
  <c r="H6" i="5" s="1"/>
  <c r="E36" i="5"/>
  <c r="I36" i="5" s="1"/>
  <c r="E35" i="5"/>
  <c r="H35" i="5" s="1"/>
  <c r="E34" i="5"/>
  <c r="I34" i="5" s="1"/>
  <c r="E33" i="5"/>
  <c r="H33" i="5" s="1"/>
  <c r="E32" i="5"/>
  <c r="I32" i="5" s="1"/>
  <c r="E31" i="5"/>
  <c r="H31" i="5" s="1"/>
  <c r="E30" i="5"/>
  <c r="I30" i="5" s="1"/>
  <c r="E29" i="5"/>
  <c r="H29" i="5" s="1"/>
  <c r="E28" i="5"/>
  <c r="I28" i="5" s="1"/>
  <c r="E27" i="5"/>
  <c r="H27" i="5" s="1"/>
  <c r="E26" i="5"/>
  <c r="I26" i="5" s="1"/>
  <c r="E24" i="5"/>
  <c r="H24" i="5" s="1"/>
  <c r="E23" i="5"/>
  <c r="I23" i="5" s="1"/>
  <c r="E22" i="5"/>
  <c r="H22" i="5" s="1"/>
  <c r="E21" i="5"/>
  <c r="I21" i="5" s="1"/>
  <c r="E20" i="5"/>
  <c r="H20" i="5" s="1"/>
  <c r="E19" i="5"/>
  <c r="I19" i="5" s="1"/>
  <c r="E18" i="5"/>
  <c r="H18" i="5" s="1"/>
  <c r="E17" i="5"/>
  <c r="I17" i="5" s="1"/>
  <c r="E16" i="5"/>
  <c r="H16" i="5" s="1"/>
  <c r="E15" i="5"/>
  <c r="I15" i="5" s="1"/>
  <c r="E14" i="5"/>
  <c r="H14" i="5" s="1"/>
  <c r="E13" i="5"/>
  <c r="I13" i="5" s="1"/>
  <c r="E12" i="5"/>
  <c r="H12" i="5" s="1"/>
  <c r="E11" i="5"/>
  <c r="I11" i="5" s="1"/>
  <c r="E10" i="5"/>
  <c r="H10" i="5" s="1"/>
  <c r="E9" i="5"/>
  <c r="I9" i="5" s="1"/>
  <c r="E8" i="5"/>
  <c r="H8" i="5" s="1"/>
  <c r="E7" i="5"/>
  <c r="I7" i="5" s="1"/>
  <c r="H5" i="5" l="1"/>
  <c r="E40" i="5"/>
  <c r="D8" i="6"/>
  <c r="Z49" i="8"/>
  <c r="D35" i="3"/>
  <c r="D36" i="3"/>
  <c r="H50" i="8"/>
  <c r="E15" i="8" s="1"/>
  <c r="H34" i="5"/>
  <c r="H30" i="5"/>
  <c r="H26" i="5"/>
  <c r="H21" i="5"/>
  <c r="H17" i="5"/>
  <c r="H13" i="5"/>
  <c r="H9" i="5"/>
  <c r="I6" i="5"/>
  <c r="H36" i="5"/>
  <c r="H32" i="5"/>
  <c r="H28" i="5"/>
  <c r="H23" i="5"/>
  <c r="H19" i="5"/>
  <c r="H15" i="5"/>
  <c r="H11" i="5"/>
  <c r="H7" i="5"/>
  <c r="D16" i="3"/>
  <c r="D17" i="3" s="1"/>
  <c r="D9" i="6" s="1"/>
  <c r="F22" i="8" s="1"/>
  <c r="F30" i="8" s="1"/>
  <c r="F37" i="8" s="1"/>
  <c r="I5" i="5"/>
  <c r="I35" i="5"/>
  <c r="I33" i="5"/>
  <c r="I31" i="5"/>
  <c r="I29" i="5"/>
  <c r="I27" i="5"/>
  <c r="I24" i="5"/>
  <c r="I22" i="5"/>
  <c r="I20" i="5"/>
  <c r="I18" i="5"/>
  <c r="I16" i="5"/>
  <c r="I14" i="5"/>
  <c r="I12" i="5"/>
  <c r="I10" i="5"/>
  <c r="I8" i="5"/>
  <c r="D7" i="6"/>
  <c r="H48" i="8" l="1"/>
  <c r="Z48" i="8" s="1"/>
  <c r="Q48" i="8"/>
  <c r="H47" i="8"/>
  <c r="Q47" i="8"/>
  <c r="I40" i="5"/>
  <c r="I41" i="5" s="1"/>
  <c r="H40" i="5"/>
  <c r="H41" i="5" s="1"/>
  <c r="D40" i="3"/>
  <c r="D12" i="6" s="1"/>
  <c r="E23" i="8"/>
  <c r="E31" i="8" s="1"/>
  <c r="E38" i="8" s="1"/>
  <c r="E16" i="8"/>
  <c r="V15" i="8"/>
  <c r="M15" i="8"/>
  <c r="D10" i="6"/>
  <c r="N14" i="8"/>
  <c r="Z50" i="8"/>
  <c r="Z47" i="8"/>
  <c r="E14" i="8"/>
  <c r="M31" i="8" l="1"/>
  <c r="V31" i="8"/>
  <c r="V23" i="8"/>
  <c r="M23" i="8"/>
  <c r="E22" i="8"/>
  <c r="E30" i="8" s="1"/>
  <c r="E37" i="8" s="1"/>
  <c r="M14" i="8"/>
  <c r="O14" i="8" s="1"/>
  <c r="P14" i="8" s="1"/>
  <c r="V14" i="8"/>
  <c r="F14" i="8"/>
  <c r="W14" i="8" s="1"/>
  <c r="D14" i="6"/>
  <c r="E24" i="8"/>
  <c r="E32" i="8" s="1"/>
  <c r="E39" i="8" s="1"/>
  <c r="M39" i="8" s="1"/>
  <c r="M16" i="8"/>
  <c r="E17" i="8"/>
  <c r="V16" i="8"/>
  <c r="D21" i="3"/>
  <c r="E21" i="3"/>
  <c r="D20" i="3"/>
  <c r="E20" i="3"/>
  <c r="E24" i="3"/>
  <c r="V37" i="8" l="1"/>
  <c r="M37" i="8"/>
  <c r="V39" i="8"/>
  <c r="V38" i="8"/>
  <c r="M38" i="8"/>
  <c r="M30" i="8"/>
  <c r="V30" i="8"/>
  <c r="M32" i="8"/>
  <c r="V32" i="8"/>
  <c r="D30" i="3"/>
  <c r="D32" i="3" s="1"/>
  <c r="X14" i="8"/>
  <c r="Y14" i="8" s="1"/>
  <c r="G14" i="8"/>
  <c r="H14" i="8" s="1"/>
  <c r="E25" i="8"/>
  <c r="E33" i="8" s="1"/>
  <c r="E40" i="8" s="1"/>
  <c r="V40" i="8" s="1"/>
  <c r="E18" i="8"/>
  <c r="V17" i="8"/>
  <c r="M17" i="8"/>
  <c r="V24" i="8"/>
  <c r="M24" i="8"/>
  <c r="M22" i="8"/>
  <c r="V22" i="8"/>
  <c r="C23" i="2"/>
  <c r="E16" i="3"/>
  <c r="M40" i="8" l="1"/>
  <c r="M33" i="8"/>
  <c r="V33" i="8"/>
  <c r="D42" i="3"/>
  <c r="E26" i="8"/>
  <c r="E34" i="8" s="1"/>
  <c r="E41" i="8" s="1"/>
  <c r="V41" i="8" s="1"/>
  <c r="M18" i="8"/>
  <c r="V18" i="8"/>
  <c r="V25" i="8"/>
  <c r="M25" i="8"/>
  <c r="E23" i="3"/>
  <c r="C24" i="2"/>
  <c r="M41" i="8" l="1"/>
  <c r="M34" i="8"/>
  <c r="V34" i="8"/>
  <c r="V26" i="8"/>
  <c r="M26" i="8"/>
  <c r="C27" i="2"/>
  <c r="C5" i="7" s="1"/>
  <c r="E17" i="3"/>
  <c r="E9" i="6" s="1"/>
  <c r="E10" i="6" l="1"/>
  <c r="F15" i="8" s="1"/>
  <c r="F23" i="8"/>
  <c r="F31" i="8" s="1"/>
  <c r="F38" i="8" s="1"/>
  <c r="C9" i="6"/>
  <c r="F21" i="8" s="1"/>
  <c r="F29" i="8" s="1"/>
  <c r="F36" i="8" s="1"/>
  <c r="E40" i="3"/>
  <c r="C9" i="7"/>
  <c r="E29" i="3" s="1"/>
  <c r="N15" i="8" l="1"/>
  <c r="N21" i="8" s="1"/>
  <c r="C10" i="6"/>
  <c r="N13" i="8"/>
  <c r="O13" i="8" s="1"/>
  <c r="P13" i="8" s="1"/>
  <c r="W15" i="8"/>
  <c r="X15" i="8" s="1"/>
  <c r="Y15" i="8" s="1"/>
  <c r="F16" i="8"/>
  <c r="G15" i="8"/>
  <c r="H15" i="8" s="1"/>
  <c r="E12" i="6"/>
  <c r="E14" i="6" s="1"/>
  <c r="E30" i="3"/>
  <c r="O15" i="8" l="1"/>
  <c r="P15" i="8" s="1"/>
  <c r="Q15" i="8" s="1"/>
  <c r="N16" i="8"/>
  <c r="D7" i="4"/>
  <c r="C8" i="4"/>
  <c r="E8" i="4"/>
  <c r="D9" i="4"/>
  <c r="D10" i="4"/>
  <c r="H8" i="4"/>
  <c r="F7" i="4"/>
  <c r="D8" i="4"/>
  <c r="F8" i="4"/>
  <c r="F9" i="4"/>
  <c r="F10" i="4"/>
  <c r="H9" i="4"/>
  <c r="C12" i="4"/>
  <c r="D12" i="4"/>
  <c r="H10" i="4"/>
  <c r="F11" i="4"/>
  <c r="E12" i="4"/>
  <c r="C11" i="4"/>
  <c r="E9" i="4"/>
  <c r="H11" i="4"/>
  <c r="C7" i="4"/>
  <c r="C6" i="4"/>
  <c r="C5" i="4"/>
  <c r="F6" i="4"/>
  <c r="F5" i="4"/>
  <c r="C10" i="4"/>
  <c r="D5" i="4"/>
  <c r="H7" i="4"/>
  <c r="H12" i="4"/>
  <c r="F12" i="4"/>
  <c r="D11" i="4"/>
  <c r="E11" i="4"/>
  <c r="E10" i="4"/>
  <c r="C9" i="4"/>
  <c r="E7" i="4"/>
  <c r="E6" i="4"/>
  <c r="E5" i="4"/>
  <c r="H5" i="4"/>
  <c r="D6" i="4"/>
  <c r="H6" i="4"/>
  <c r="G11" i="4"/>
  <c r="G5" i="4"/>
  <c r="G7" i="4"/>
  <c r="G9" i="4"/>
  <c r="G10" i="4"/>
  <c r="G12" i="4"/>
  <c r="G6" i="4"/>
  <c r="G8" i="4"/>
  <c r="F13" i="8"/>
  <c r="C14" i="6"/>
  <c r="Q13" i="8"/>
  <c r="Q14" i="8"/>
  <c r="W16" i="8"/>
  <c r="X16" i="8" s="1"/>
  <c r="Y16" i="8" s="1"/>
  <c r="F17" i="8"/>
  <c r="G16" i="8"/>
  <c r="H16" i="8" s="1"/>
  <c r="N22" i="8"/>
  <c r="O21" i="8"/>
  <c r="P21" i="8" s="1"/>
  <c r="N17" i="8"/>
  <c r="O16" i="8"/>
  <c r="E32" i="3"/>
  <c r="P16" i="8" l="1"/>
  <c r="Q16" i="8" s="1"/>
  <c r="E45" i="3"/>
  <c r="E46" i="3"/>
  <c r="E42" i="3"/>
  <c r="W13" i="8"/>
  <c r="X13" i="8" s="1"/>
  <c r="Y13" i="8" s="1"/>
  <c r="G13" i="8"/>
  <c r="H13" i="8" s="1"/>
  <c r="N18" i="8"/>
  <c r="O18" i="8" s="1"/>
  <c r="P18" i="8" s="1"/>
  <c r="O17" i="8"/>
  <c r="P17" i="8" s="1"/>
  <c r="N23" i="8"/>
  <c r="N29" i="8" s="1"/>
  <c r="O22" i="8"/>
  <c r="P22" i="8" s="1"/>
  <c r="F18" i="8"/>
  <c r="W17" i="8"/>
  <c r="X17" i="8" s="1"/>
  <c r="Y17" i="8" s="1"/>
  <c r="G17" i="8"/>
  <c r="H17" i="8" s="1"/>
  <c r="Q52" i="8" l="1"/>
  <c r="Z17" i="8"/>
  <c r="Z15" i="8"/>
  <c r="Z16" i="8"/>
  <c r="O29" i="8"/>
  <c r="P29" i="8" s="1"/>
  <c r="N30" i="8"/>
  <c r="N36" i="8" s="1"/>
  <c r="Q21" i="8"/>
  <c r="Q18" i="8"/>
  <c r="Q22" i="8"/>
  <c r="Z13" i="8"/>
  <c r="Z14" i="8"/>
  <c r="Q17" i="8"/>
  <c r="W18" i="8"/>
  <c r="X18" i="8" s="1"/>
  <c r="Y18" i="8" s="1"/>
  <c r="G18" i="8"/>
  <c r="H18" i="8" s="1"/>
  <c r="N24" i="8"/>
  <c r="O23" i="8"/>
  <c r="P23" i="8" l="1"/>
  <c r="Q23" i="8" s="1"/>
  <c r="Z18" i="8"/>
  <c r="N37" i="8"/>
  <c r="O36" i="8"/>
  <c r="P36" i="8" s="1"/>
  <c r="N31" i="8"/>
  <c r="O30" i="8"/>
  <c r="P30" i="8" s="1"/>
  <c r="W21" i="8"/>
  <c r="X21" i="8" s="1"/>
  <c r="Y21" i="8" s="1"/>
  <c r="G21" i="8"/>
  <c r="H21" i="8" s="1"/>
  <c r="N25" i="8"/>
  <c r="O24" i="8"/>
  <c r="P24" i="8" l="1"/>
  <c r="Q24" i="8" s="1"/>
  <c r="Z21" i="8"/>
  <c r="N38" i="8"/>
  <c r="O37" i="8"/>
  <c r="P37" i="8" s="1"/>
  <c r="N32" i="8"/>
  <c r="O31" i="8"/>
  <c r="P31" i="8" s="1"/>
  <c r="W22" i="8"/>
  <c r="X22" i="8" s="1"/>
  <c r="Y22" i="8" s="1"/>
  <c r="G22" i="8"/>
  <c r="H22" i="8" s="1"/>
  <c r="N26" i="8"/>
  <c r="O26" i="8" s="1"/>
  <c r="P26" i="8" s="1"/>
  <c r="O25" i="8"/>
  <c r="P25" i="8" l="1"/>
  <c r="Q25" i="8" s="1"/>
  <c r="Z22" i="8"/>
  <c r="N39" i="8"/>
  <c r="O38" i="8"/>
  <c r="P38" i="8" s="1"/>
  <c r="Q31" i="8"/>
  <c r="N33" i="8"/>
  <c r="O32" i="8"/>
  <c r="F24" i="8"/>
  <c r="F32" i="8" s="1"/>
  <c r="F39" i="8" s="1"/>
  <c r="W23" i="8"/>
  <c r="X23" i="8" s="1"/>
  <c r="Y23" i="8" s="1"/>
  <c r="G23" i="8"/>
  <c r="H23" i="8" s="1"/>
  <c r="Q26" i="8"/>
  <c r="Q30" i="8" l="1"/>
  <c r="P32" i="8"/>
  <c r="Q32" i="8" s="1"/>
  <c r="Q29" i="8"/>
  <c r="Z23" i="8"/>
  <c r="N40" i="8"/>
  <c r="O39" i="8"/>
  <c r="P39" i="8" s="1"/>
  <c r="N34" i="8"/>
  <c r="O34" i="8" s="1"/>
  <c r="P34" i="8" s="1"/>
  <c r="O33" i="8"/>
  <c r="W24" i="8"/>
  <c r="X24" i="8" s="1"/>
  <c r="F25" i="8"/>
  <c r="F33" i="8" s="1"/>
  <c r="F40" i="8" s="1"/>
  <c r="G24" i="8"/>
  <c r="H24" i="8" s="1"/>
  <c r="P33" i="8" l="1"/>
  <c r="Q33" i="8" s="1"/>
  <c r="Y24" i="8"/>
  <c r="Z24" i="8" s="1"/>
  <c r="N41" i="8"/>
  <c r="O41" i="8" s="1"/>
  <c r="P41" i="8" s="1"/>
  <c r="O40" i="8"/>
  <c r="Q36" i="8"/>
  <c r="Q37" i="8"/>
  <c r="Q39" i="8"/>
  <c r="Q34" i="8"/>
  <c r="F26" i="8"/>
  <c r="F34" i="8" s="1"/>
  <c r="F41" i="8" s="1"/>
  <c r="W25" i="8"/>
  <c r="X25" i="8" s="1"/>
  <c r="G25" i="8"/>
  <c r="H25" i="8" s="1"/>
  <c r="P40" i="8" l="1"/>
  <c r="Q41" i="8" s="1"/>
  <c r="Y25" i="8"/>
  <c r="Z25" i="8" s="1"/>
  <c r="Q38" i="8"/>
  <c r="G29" i="8"/>
  <c r="H29" i="8" s="1"/>
  <c r="W29" i="8"/>
  <c r="X29" i="8" s="1"/>
  <c r="Y29" i="8" s="1"/>
  <c r="W26" i="8"/>
  <c r="X26" i="8" s="1"/>
  <c r="G26" i="8"/>
  <c r="H26" i="8" s="1"/>
  <c r="Q40" i="8" l="1"/>
  <c r="Y26" i="8"/>
  <c r="Z26" i="8" s="1"/>
  <c r="W30" i="8"/>
  <c r="X30" i="8" s="1"/>
  <c r="G30" i="8"/>
  <c r="H30" i="8" s="1"/>
  <c r="Z29" i="8" l="1"/>
  <c r="Y30" i="8"/>
  <c r="Z30" i="8" s="1"/>
  <c r="W31" i="8"/>
  <c r="X31" i="8" s="1"/>
  <c r="G31" i="8"/>
  <c r="H31" i="8" s="1"/>
  <c r="Y31" i="8" l="1"/>
  <c r="Z31" i="8" s="1"/>
  <c r="W32" i="8"/>
  <c r="X32" i="8" s="1"/>
  <c r="G32" i="8"/>
  <c r="H32" i="8" s="1"/>
  <c r="Y32" i="8" l="1"/>
  <c r="Z32" i="8" s="1"/>
  <c r="W36" i="8"/>
  <c r="X36" i="8" s="1"/>
  <c r="Y36" i="8" s="1"/>
  <c r="G36" i="8"/>
  <c r="H36" i="8" s="1"/>
  <c r="W33" i="8"/>
  <c r="X33" i="8" s="1"/>
  <c r="G33" i="8"/>
  <c r="H33" i="8" s="1"/>
  <c r="Y33" i="8" l="1"/>
  <c r="Z33" i="8" s="1"/>
  <c r="W37" i="8"/>
  <c r="X37" i="8" s="1"/>
  <c r="Y37" i="8" s="1"/>
  <c r="G37" i="8"/>
  <c r="H37" i="8" s="1"/>
  <c r="W34" i="8"/>
  <c r="X34" i="8" s="1"/>
  <c r="G34" i="8"/>
  <c r="Y34" i="8" l="1"/>
  <c r="Z34" i="8" s="1"/>
  <c r="W38" i="8"/>
  <c r="X38" i="8" s="1"/>
  <c r="G38" i="8"/>
  <c r="H38" i="8" s="1"/>
  <c r="H34" i="8"/>
  <c r="Z37" i="8" l="1"/>
  <c r="Z36" i="8"/>
  <c r="Y38" i="8"/>
  <c r="Z38" i="8" s="1"/>
  <c r="W39" i="8"/>
  <c r="X39" i="8" s="1"/>
  <c r="G39" i="8"/>
  <c r="H39" i="8" s="1"/>
  <c r="Y39" i="8" l="1"/>
  <c r="Z39" i="8" s="1"/>
  <c r="W40" i="8"/>
  <c r="X40" i="8" s="1"/>
  <c r="G40" i="8"/>
  <c r="H40" i="8" s="1"/>
  <c r="Y40" i="8" l="1"/>
  <c r="Z52" i="8" s="1"/>
  <c r="W41" i="8"/>
  <c r="X41" i="8" s="1"/>
  <c r="G41" i="8"/>
  <c r="H41" i="8" l="1"/>
  <c r="H52" i="8" s="1"/>
  <c r="Y41" i="8"/>
  <c r="Z41" i="8" s="1"/>
  <c r="Z40" i="8"/>
</calcChain>
</file>

<file path=xl/sharedStrings.xml><?xml version="1.0" encoding="utf-8"?>
<sst xmlns="http://schemas.openxmlformats.org/spreadsheetml/2006/main" count="295" uniqueCount="240">
  <si>
    <t>Comments and Notes</t>
  </si>
  <si>
    <t>Variable Costs:</t>
  </si>
  <si>
    <t>Chemicals</t>
  </si>
  <si>
    <t xml:space="preserve"> Includes equipment, trellis, irrigation, facilities</t>
  </si>
  <si>
    <t>Supplies</t>
  </si>
  <si>
    <t>Utilities</t>
  </si>
  <si>
    <t>Seasonal Labor</t>
  </si>
  <si>
    <t>Total Variable Costs</t>
  </si>
  <si>
    <t>Fixed Costs:</t>
  </si>
  <si>
    <t>Total Fixed Costs</t>
  </si>
  <si>
    <t>TOTAL COSTS</t>
  </si>
  <si>
    <t xml:space="preserve"> Includes N, P, K, S, Zn and other plant nutrients</t>
  </si>
  <si>
    <t xml:space="preserve"> Includes all herbicides, pesticides, and fungicides (for powdery mildew control)</t>
  </si>
  <si>
    <t>Consulting</t>
  </si>
  <si>
    <t xml:space="preserve"> Includes agricultural field consulting</t>
  </si>
  <si>
    <t xml:space="preserve"> Includes custom spraying, harvesting, tractor work, etc.</t>
  </si>
  <si>
    <t>Overhead</t>
  </si>
  <si>
    <t xml:space="preserve"> Includes property insurance, crop insurance and liability insurance</t>
  </si>
  <si>
    <t xml:space="preserve"> Cost of electricity and telephones</t>
  </si>
  <si>
    <t xml:space="preserve">Management </t>
  </si>
  <si>
    <t>Administration</t>
  </si>
  <si>
    <t>Estimated Price ($/lb)</t>
  </si>
  <si>
    <t>TOTAL RETURNS</t>
  </si>
  <si>
    <t>Estimated Net Returns</t>
  </si>
  <si>
    <t>$/Acre</t>
  </si>
  <si>
    <t xml:space="preserve"> Includes health insurance, employer taxes, etc.</t>
  </si>
  <si>
    <t xml:space="preserve"> Includes assessments, dues licenses, inspection fees</t>
  </si>
  <si>
    <t xml:space="preserve"> Includes office supplies and professional services (attorney, accounting, etc.)</t>
  </si>
  <si>
    <t xml:space="preserve"> Includes twine &amp; clips, and packaging supplies</t>
  </si>
  <si>
    <t xml:space="preserve">     Disc</t>
  </si>
  <si>
    <t xml:space="preserve">     Subsoil</t>
  </si>
  <si>
    <t xml:space="preserve">     Plow/Rototill</t>
  </si>
  <si>
    <t xml:space="preserve">     Cultipack/Sprtooth (2X)</t>
  </si>
  <si>
    <t xml:space="preserve">     Fumigate</t>
  </si>
  <si>
    <t xml:space="preserve">     Interest</t>
  </si>
  <si>
    <t>Total Land Preparation</t>
  </si>
  <si>
    <t xml:space="preserve">     Field Poles</t>
  </si>
  <si>
    <t xml:space="preserve">     Anchor Poles</t>
  </si>
  <si>
    <t xml:space="preserve">     Anchor Holes</t>
  </si>
  <si>
    <t xml:space="preserve">     Anchor Material</t>
  </si>
  <si>
    <t xml:space="preserve">     Labor</t>
  </si>
  <si>
    <t xml:space="preserve">     Management</t>
  </si>
  <si>
    <t>Total Establishment Cost</t>
  </si>
  <si>
    <t>Total Land Preparation and</t>
  </si>
  <si>
    <t xml:space="preserve">     Establishment Costs</t>
  </si>
  <si>
    <t xml:space="preserve"> October-November of Previous Year</t>
  </si>
  <si>
    <t xml:space="preserve"> Custom hire </t>
  </si>
  <si>
    <t>Land Preparation</t>
  </si>
  <si>
    <t>Establishment</t>
  </si>
  <si>
    <t xml:space="preserve"> Includes benefits, social security, etc. for management personnel</t>
  </si>
  <si>
    <t xml:space="preserve"> Includes benefits, social security, etc. for administration personnel</t>
  </si>
  <si>
    <t>Budget Assumptions and Information</t>
  </si>
  <si>
    <t>1.</t>
  </si>
  <si>
    <t>2.</t>
  </si>
  <si>
    <t>3.</t>
  </si>
  <si>
    <t>4.</t>
  </si>
  <si>
    <t>5.</t>
  </si>
  <si>
    <t>6.</t>
  </si>
  <si>
    <t>7.</t>
  </si>
  <si>
    <t>8.</t>
  </si>
  <si>
    <t>The specifications for hop production are listed in the table below:</t>
  </si>
  <si>
    <t>Table 1. Hop Production Specifications</t>
  </si>
  <si>
    <t>660 acres</t>
  </si>
  <si>
    <t>600 acres</t>
  </si>
  <si>
    <t>3.5 feet</t>
  </si>
  <si>
    <t>14 feet</t>
  </si>
  <si>
    <t>5 years</t>
  </si>
  <si>
    <t>9.</t>
  </si>
  <si>
    <t>2015 Cost Estimates of Establishing and Producing Hops in the Pacific Northwest</t>
  </si>
  <si>
    <t>Amortized Establishment Cost</t>
  </si>
  <si>
    <t>Alpha</t>
  </si>
  <si>
    <t>Aroma</t>
  </si>
  <si>
    <t>Estimated Production Level (Lb/acre)</t>
  </si>
  <si>
    <t>Notes:</t>
  </si>
  <si>
    <t>10 hours @ $20/hour</t>
  </si>
  <si>
    <t xml:space="preserve"> Includes gasoline, diesel, lubricants, propane</t>
  </si>
  <si>
    <t xml:space="preserve"> 6.5% of land prep cost </t>
  </si>
  <si>
    <t xml:space="preserve">6.5% of above establishment costs </t>
  </si>
  <si>
    <t>Quantity</t>
  </si>
  <si>
    <t>Total Cost ($)</t>
  </si>
  <si>
    <t>Expected Useful Life (years)</t>
  </si>
  <si>
    <t>100-HP Wheel Tractor</t>
  </si>
  <si>
    <t>75-HP Wheel Tractor</t>
  </si>
  <si>
    <t>60-HP Wheel Tractor</t>
  </si>
  <si>
    <t>Tractor/Loader</t>
  </si>
  <si>
    <t>Tractor/Loader/Backhoe</t>
  </si>
  <si>
    <t>Hyster Loader</t>
  </si>
  <si>
    <t>Top Cutter</t>
  </si>
  <si>
    <t>Bottom Cutter</t>
  </si>
  <si>
    <t>T-Bar with Shanks</t>
  </si>
  <si>
    <t>12' Cultivator</t>
  </si>
  <si>
    <t>Blast Sprayer</t>
  </si>
  <si>
    <t>Ground Sprayer</t>
  </si>
  <si>
    <t>Mechanical Pruner</t>
  </si>
  <si>
    <t>Wire/Tube Roller</t>
  </si>
  <si>
    <t>Manager's Pickup</t>
  </si>
  <si>
    <t xml:space="preserve">Foreman's Pickup </t>
  </si>
  <si>
    <t xml:space="preserve">Labor's Pickup </t>
  </si>
  <si>
    <t>4 Wheeler</t>
  </si>
  <si>
    <t xml:space="preserve">Service Truck </t>
  </si>
  <si>
    <t>Spreader Truck</t>
  </si>
  <si>
    <t>Total</t>
  </si>
  <si>
    <t>Interest rate</t>
  </si>
  <si>
    <t>Total farm area</t>
  </si>
  <si>
    <t>Machine Shop and Shed</t>
  </si>
  <si>
    <t xml:space="preserve"> Includes machine, equipment, shop, office and irrigation infrastructure</t>
  </si>
  <si>
    <t>Depreciation ($)</t>
  </si>
  <si>
    <t>Interest ($)</t>
  </si>
  <si>
    <t xml:space="preserve">     Design</t>
  </si>
  <si>
    <t>Building/Machine/Equipment/ Irrigation</t>
  </si>
  <si>
    <t>Per Acre</t>
  </si>
  <si>
    <t>Year 1</t>
  </si>
  <si>
    <t>Year 1 ($/acre)</t>
  </si>
  <si>
    <t xml:space="preserve">Calculate NPV </t>
  </si>
  <si>
    <t>Calculate Payback Period of Total Cash Costs</t>
  </si>
  <si>
    <t>Calculate Payback Period of Total Cost</t>
  </si>
  <si>
    <t>Gross Return</t>
  </si>
  <si>
    <t>Net Return</t>
  </si>
  <si>
    <t>Discounted Net Return</t>
  </si>
  <si>
    <t>Cumulative Discounted Net Return</t>
  </si>
  <si>
    <t>Prod area (acres)</t>
  </si>
  <si>
    <t>NPV</t>
  </si>
  <si>
    <t>Payback period (years)</t>
  </si>
  <si>
    <t>d. rate*</t>
  </si>
  <si>
    <t>Yield Year 1-Aroma</t>
  </si>
  <si>
    <t>Yield Year 1-Alpha</t>
  </si>
  <si>
    <t>Yield Full Prod -Aroma</t>
  </si>
  <si>
    <t>Yield Full Prod -Alpha</t>
  </si>
  <si>
    <t>Price per lb-Aroma</t>
  </si>
  <si>
    <t>Price per lb-Alpha</t>
  </si>
  <si>
    <t>Establishment Years</t>
  </si>
  <si>
    <t>Annual Requirements ($)</t>
  </si>
  <si>
    <t>Irrigation System</t>
  </si>
  <si>
    <t>Total Requirements ($)</t>
  </si>
  <si>
    <t>Receipts ($)</t>
  </si>
  <si>
    <t>Net Requirements ($)</t>
  </si>
  <si>
    <t>Land (660 acres)</t>
  </si>
  <si>
    <t xml:space="preserve">Machinery, Equipment, and Building </t>
  </si>
  <si>
    <t xml:space="preserve"> Year 0</t>
  </si>
  <si>
    <t>The representative farm has 660 acres devoted to hop production, with 600 acres in hops currently being established or currently producing. It takes 1.1 acres of land to establish 1 acre of hops. Thus, on this representative farm approximately 60 acres of land are needed for roads, buildings, picking equipment, etc. in support of hops production.</t>
  </si>
  <si>
    <t xml:space="preserve">The value of bare land is $15,000 per acre with property taxes of $70 per acre. </t>
  </si>
  <si>
    <t>A drip irrigation system costs $4,150 per acre ($2,650/acre material cost plus $1,500/acre installation cost).  The annual water charge is $95 per acre.</t>
  </si>
  <si>
    <t>The hop plants have a 5-year life.</t>
  </si>
  <si>
    <t>Management is valued at $250 per acre. This value is representative of what the producer committee felt was a fair return on an operator's management skills.</t>
  </si>
  <si>
    <t>The prevailing interest rate is 6.5% for a short-term loan, and 5% for a long-term loan.</t>
  </si>
  <si>
    <t>Instructions for Using the Spreadsheets</t>
  </si>
  <si>
    <t>The information in this publication serves as a general guide for a modern and well-managed hop farm as of 2015. To avoid unwarranted conclusions for any particular operation, closely examine the assumptions used. If they are not appropriate for your situation, adjust the costs and/or returns as appropriate.</t>
  </si>
  <si>
    <t>Your Costs</t>
  </si>
  <si>
    <t>Your Costs and Returns</t>
  </si>
  <si>
    <t>Table 3. Estimated Annual Costs and Returns of Producing Standard Trellis Hops under Drip Irrigation</t>
  </si>
  <si>
    <t>Interest</t>
  </si>
  <si>
    <t>Note: Shaded area denotes a positive profit based on the combination of yield and price.</t>
  </si>
  <si>
    <r>
      <t xml:space="preserve">Values in </t>
    </r>
    <r>
      <rPr>
        <sz val="11"/>
        <color rgb="FFC00000"/>
        <rFont val="Times New Roman"/>
        <family val="1"/>
      </rPr>
      <t>red</t>
    </r>
    <r>
      <rPr>
        <sz val="11"/>
        <color indexed="8"/>
        <rFont val="Times New Roman"/>
        <family val="1"/>
      </rPr>
      <t xml:space="preserve"> are provided by growers who participated in the development of this budget. These values can be changed.  Any modifications will affect the linked spreadsheets.</t>
    </r>
  </si>
  <si>
    <t>Appendix 3. Amortization Calculator</t>
  </si>
  <si>
    <t xml:space="preserve">   Interest rate</t>
  </si>
  <si>
    <t xml:space="preserve">   Amortized amount per year</t>
  </si>
  <si>
    <t>Appendix 2. Summary of Annual Capital Requirements for a 600-Acre Hop Yard</t>
  </si>
  <si>
    <t>The hop yard is planted with 80% aroma varieties and 20% alpha varieties, which means 480 acres of aroma hops and 120 acres of alpha hops.</t>
  </si>
  <si>
    <t>The variety of hop to be grown is to be on a standard trellis and projected to have an average mature-year production of  1,800 lbs per acre for aroma varieties and 2,800 lbs per acre for alpha varieties. First year production is projected to be 80% of mature-year production.</t>
  </si>
  <si>
    <t>Cooling/Baling Room</t>
  </si>
  <si>
    <r>
      <t>Total Cost</t>
    </r>
    <r>
      <rPr>
        <b/>
        <vertAlign val="superscript"/>
        <sz val="11"/>
        <color theme="1"/>
        <rFont val="Times New Roman"/>
        <family val="1"/>
      </rPr>
      <t>f</t>
    </r>
  </si>
  <si>
    <t>Kiln</t>
  </si>
  <si>
    <t>Break-even Price ($/lb)</t>
  </si>
  <si>
    <r>
      <t xml:space="preserve">Values in </t>
    </r>
    <r>
      <rPr>
        <b/>
        <sz val="11"/>
        <rFont val="Times New Roman"/>
        <family val="1"/>
      </rPr>
      <t>black</t>
    </r>
    <r>
      <rPr>
        <sz val="11"/>
        <rFont val="Times New Roman"/>
        <family val="1"/>
      </rPr>
      <t xml:space="preserve"> are calculated using the input data and cannot be modified. This means that these calculations are protected in the spreadsheets. To make changes, click "Unprotect Sheet" under the Review tab (above). No password is needed.</t>
    </r>
  </si>
  <si>
    <r>
      <t>Mature production</t>
    </r>
    <r>
      <rPr>
        <b/>
        <vertAlign val="superscript"/>
        <sz val="11"/>
        <rFont val="Times New Roman"/>
        <family val="1"/>
      </rPr>
      <t>A</t>
    </r>
    <r>
      <rPr>
        <b/>
        <sz val="11"/>
        <rFont val="Times New Roman"/>
        <family val="1"/>
      </rPr>
      <t xml:space="preserve"> ($/acre)</t>
    </r>
  </si>
  <si>
    <t>B. Represents the cost incurred during the establishment years that must be recaptured during the mature production years in order for an enterprise to be profitable. It is calculated as accumulated establishment costs (Establishment and Year 1) amortized at 5% for 4 years.</t>
  </si>
  <si>
    <t>A. Represents of the remaining years that the hop plants are in full production (i.e., Year 2 to Year 5).</t>
  </si>
  <si>
    <t xml:space="preserve">A. Net return is what the grower receives after all production expenses have been accounted. </t>
  </si>
  <si>
    <t>B. Represents the average yield over 4 years of full production.</t>
  </si>
  <si>
    <t>C. Price represents gross return.</t>
  </si>
  <si>
    <t xml:space="preserve">A. Dauenhauer double recleaner picking machine. </t>
  </si>
  <si>
    <t>B. Purchase price corresponds to new machine and equipment.</t>
  </si>
  <si>
    <t>Hop Trucks/Trailers (used and fabricated)</t>
  </si>
  <si>
    <t>Miscellaneous/Shop Equipment</t>
  </si>
  <si>
    <t>Tools and Supplies</t>
  </si>
  <si>
    <r>
      <t>Full Production</t>
    </r>
    <r>
      <rPr>
        <b/>
        <vertAlign val="superscript"/>
        <sz val="11"/>
        <rFont val="Times New Roman"/>
        <family val="1"/>
      </rPr>
      <t>A</t>
    </r>
  </si>
  <si>
    <r>
      <t>Operating Expenses</t>
    </r>
    <r>
      <rPr>
        <vertAlign val="superscript"/>
        <sz val="11"/>
        <rFont val="Times New Roman"/>
        <family val="1"/>
      </rPr>
      <t>B</t>
    </r>
  </si>
  <si>
    <r>
      <t>A.</t>
    </r>
    <r>
      <rPr>
        <vertAlign val="superscript"/>
        <sz val="10"/>
        <rFont val="Times New Roman"/>
        <family val="1"/>
      </rPr>
      <t xml:space="preserve"> </t>
    </r>
    <r>
      <rPr>
        <sz val="10"/>
        <rFont val="Times New Roman"/>
        <family val="1"/>
      </rPr>
      <t>Represents all the remaining years the hop plants are in full production (Year 2 to Year 5).</t>
    </r>
  </si>
  <si>
    <t>B. Operating expenses are the sum of the total variable costs, insurance cost, land and property taxes, management cost, administration, utilities and overhead.</t>
  </si>
  <si>
    <r>
      <t xml:space="preserve">   Dollar amount to be amortized</t>
    </r>
    <r>
      <rPr>
        <vertAlign val="superscript"/>
        <sz val="11"/>
        <color theme="1"/>
        <rFont val="Times New Roman"/>
        <family val="1"/>
      </rPr>
      <t>A</t>
    </r>
  </si>
  <si>
    <r>
      <t xml:space="preserve">   Number of years</t>
    </r>
    <r>
      <rPr>
        <vertAlign val="superscript"/>
        <sz val="11"/>
        <color theme="1"/>
        <rFont val="Times New Roman"/>
        <family val="1"/>
      </rPr>
      <t>B</t>
    </r>
  </si>
  <si>
    <t>A. Accumulated establishment costs (i.e., Add the costs in "Establishment tab" and Year 1 in "Hop Production tab" minus revenues during those years).</t>
  </si>
  <si>
    <t xml:space="preserve">B. Total productive life of the hop plants. </t>
  </si>
  <si>
    <r>
      <t>Planting Cycle 4</t>
    </r>
    <r>
      <rPr>
        <vertAlign val="superscript"/>
        <sz val="11"/>
        <color theme="1"/>
        <rFont val="Times New Roman"/>
        <family val="1"/>
      </rPr>
      <t>C</t>
    </r>
  </si>
  <si>
    <r>
      <t>Planting Cycle 3</t>
    </r>
    <r>
      <rPr>
        <vertAlign val="superscript"/>
        <sz val="11"/>
        <color theme="1"/>
        <rFont val="Times New Roman"/>
        <family val="1"/>
      </rPr>
      <t>C</t>
    </r>
  </si>
  <si>
    <r>
      <t>Planting Cycle 2</t>
    </r>
    <r>
      <rPr>
        <vertAlign val="superscript"/>
        <sz val="11"/>
        <color theme="1"/>
        <rFont val="Times New Roman"/>
        <family val="1"/>
      </rPr>
      <t>C</t>
    </r>
  </si>
  <si>
    <r>
      <t>Planting Cycle 1</t>
    </r>
    <r>
      <rPr>
        <vertAlign val="superscript"/>
        <sz val="11"/>
        <color theme="1"/>
        <rFont val="Times New Roman"/>
        <family val="1"/>
      </rPr>
      <t>C</t>
    </r>
  </si>
  <si>
    <r>
      <t xml:space="preserve">A. </t>
    </r>
    <r>
      <rPr>
        <b/>
        <sz val="11"/>
        <rFont val="Times New Roman"/>
        <family val="1"/>
      </rPr>
      <t>NPV</t>
    </r>
    <r>
      <rPr>
        <sz val="11"/>
        <rFont val="Times New Roman"/>
        <family val="1"/>
      </rPr>
      <t xml:space="preserve"> is the sum of the discounted cash flows from the first year to the last year of the planting’s productive life. Discounting is a method to estimate the present value of future payments by using a discount rate, which represents the time value of money or the opportunity cost of capital. </t>
    </r>
  </si>
  <si>
    <r>
      <t xml:space="preserve">B. The discounted </t>
    </r>
    <r>
      <rPr>
        <b/>
        <sz val="11"/>
        <rFont val="Times New Roman"/>
        <family val="1"/>
      </rPr>
      <t>payback period</t>
    </r>
    <r>
      <rPr>
        <sz val="11"/>
        <rFont val="Times New Roman"/>
        <family val="1"/>
      </rPr>
      <t xml:space="preserve"> gives the number of years it would take to recoup an investment from discounted cash flows.</t>
    </r>
  </si>
  <si>
    <r>
      <t xml:space="preserve">C. Each </t>
    </r>
    <r>
      <rPr>
        <b/>
        <sz val="11"/>
        <rFont val="Times New Roman"/>
        <family val="1"/>
      </rPr>
      <t>planting cycle</t>
    </r>
    <r>
      <rPr>
        <sz val="11"/>
        <rFont val="Times New Roman"/>
        <family val="1"/>
      </rPr>
      <t xml:space="preserve"> corresponds to a plant's productive life. In the baseline scenario, it is 5 years, after which the grower has to re-establish and replant.</t>
    </r>
  </si>
  <si>
    <t>D. Per planting cycle, Year 0 refers to the establishment year. Year 1 through Year 5 refer to the cropping years.</t>
  </si>
  <si>
    <r>
      <t xml:space="preserve">E. </t>
    </r>
    <r>
      <rPr>
        <b/>
        <sz val="11"/>
        <rFont val="Times New Roman"/>
        <family val="1"/>
      </rPr>
      <t>t</t>
    </r>
    <r>
      <rPr>
        <sz val="11"/>
        <rFont val="Times New Roman"/>
        <family val="1"/>
      </rPr>
      <t xml:space="preserve"> counts the number of years that the hop farm is in production, considering the planting cycles.</t>
    </r>
  </si>
  <si>
    <t>F. Total cost = Total cash cost + management cost + fixed capital investment; excludes interest on operating capital and interest on fixed capital.</t>
  </si>
  <si>
    <t>G. Cash costs = Total variable cost + Land &amp; property taxes + Insurance cost + Administration + Utilities + Overhead; Excludes interest on operating capital.</t>
  </si>
  <si>
    <r>
      <t>Year of Production</t>
    </r>
    <r>
      <rPr>
        <b/>
        <vertAlign val="superscript"/>
        <sz val="11"/>
        <color theme="1"/>
        <rFont val="Times New Roman"/>
        <family val="1"/>
      </rPr>
      <t>D</t>
    </r>
  </si>
  <si>
    <r>
      <t>t</t>
    </r>
    <r>
      <rPr>
        <b/>
        <vertAlign val="superscript"/>
        <sz val="11"/>
        <color theme="1"/>
        <rFont val="Times New Roman"/>
        <family val="1"/>
      </rPr>
      <t>E</t>
    </r>
  </si>
  <si>
    <r>
      <t>Total Cost</t>
    </r>
    <r>
      <rPr>
        <b/>
        <vertAlign val="superscript"/>
        <sz val="11"/>
        <color theme="1"/>
        <rFont val="Times New Roman"/>
        <family val="1"/>
      </rPr>
      <t>F</t>
    </r>
  </si>
  <si>
    <r>
      <t>Cash Costs</t>
    </r>
    <r>
      <rPr>
        <b/>
        <vertAlign val="superscript"/>
        <sz val="11"/>
        <color theme="1"/>
        <rFont val="Times New Roman"/>
        <family val="1"/>
      </rPr>
      <t>G</t>
    </r>
  </si>
  <si>
    <t>Table 5. Building, Machinery, Equipment, and Irrigation Requirements for a 660-acre Hop Yard</t>
  </si>
  <si>
    <r>
      <t>Purchase Price ($/unit)</t>
    </r>
    <r>
      <rPr>
        <b/>
        <vertAlign val="superscript"/>
        <sz val="11"/>
        <rFont val="Times New Roman"/>
        <family val="1"/>
      </rPr>
      <t>B</t>
    </r>
  </si>
  <si>
    <r>
      <t>Total Salvage Value ($)</t>
    </r>
    <r>
      <rPr>
        <b/>
        <vertAlign val="superscript"/>
        <sz val="11"/>
        <rFont val="Times New Roman"/>
        <family val="1"/>
      </rPr>
      <t>C</t>
    </r>
  </si>
  <si>
    <t>Total Production Area</t>
  </si>
  <si>
    <t>Growing Area</t>
  </si>
  <si>
    <t>In-row Spacing</t>
  </si>
  <si>
    <t>Between-row Spacing</t>
  </si>
  <si>
    <t>Life of Planting</t>
  </si>
  <si>
    <t xml:space="preserve">     Wire, Cable, and Staples</t>
  </si>
  <si>
    <t xml:space="preserve">     Planting Stock</t>
  </si>
  <si>
    <t>Table 2. Estimated Costs for Preparing and Establishing a Standard Trellis Hop Field under Drip Irrigation</t>
  </si>
  <si>
    <t>Fertilizer and Leaf Feed</t>
  </si>
  <si>
    <t>Custom Hire</t>
  </si>
  <si>
    <t>Licenses, Fees, and Dues</t>
  </si>
  <si>
    <t>Parts and Repairs</t>
  </si>
  <si>
    <t>Fuel and Oil</t>
  </si>
  <si>
    <t>Drying Fuel</t>
  </si>
  <si>
    <t>Irrigation Water</t>
  </si>
  <si>
    <t>Interest on Operating Capital</t>
  </si>
  <si>
    <t>Depreciation Cost of Fixed Capital</t>
  </si>
  <si>
    <t>Interest Cost of Fixed Capital</t>
  </si>
  <si>
    <t xml:space="preserve">Insurance Cost </t>
  </si>
  <si>
    <t>Land and Property Taxes</t>
  </si>
  <si>
    <t>Land Cost</t>
  </si>
  <si>
    <r>
      <t>Amortized Establishment Cost</t>
    </r>
    <r>
      <rPr>
        <vertAlign val="superscript"/>
        <sz val="11"/>
        <color theme="1"/>
        <rFont val="Times New Roman"/>
        <family val="1"/>
      </rPr>
      <t>B</t>
    </r>
  </si>
  <si>
    <t xml:space="preserve"> 6.5% of above variable costs × 6/12 (6 months)</t>
  </si>
  <si>
    <t>$70 per acre × 1.1 acres</t>
  </si>
  <si>
    <t>$15,000 per acre × 5%</t>
  </si>
  <si>
    <t>1,800 lb per acre × 80%</t>
  </si>
  <si>
    <t>2,800 lb per acre × 20%</t>
  </si>
  <si>
    <r>
      <t>Table 4. Estimated Net Returns</t>
    </r>
    <r>
      <rPr>
        <b/>
        <vertAlign val="superscript"/>
        <sz val="14"/>
        <color theme="1"/>
        <rFont val="Times New Roman"/>
        <family val="1"/>
      </rPr>
      <t>A</t>
    </r>
    <r>
      <rPr>
        <b/>
        <sz val="14"/>
        <color theme="1"/>
        <rFont val="Times New Roman"/>
        <family val="1"/>
      </rPr>
      <t xml:space="preserve"> Per Acre at Various Prices and Yields of Aroma Hops during Mature Production </t>
    </r>
  </si>
  <si>
    <r>
      <t>Yield (lb per acre)</t>
    </r>
    <r>
      <rPr>
        <vertAlign val="superscript"/>
        <sz val="11"/>
        <rFont val="Times New Roman"/>
        <family val="1"/>
      </rPr>
      <t>B</t>
    </r>
  </si>
  <si>
    <r>
      <t>Price ($ per lb)</t>
    </r>
    <r>
      <rPr>
        <vertAlign val="superscript"/>
        <sz val="11"/>
        <rFont val="Times New Roman"/>
        <family val="1"/>
      </rPr>
      <t>C</t>
    </r>
  </si>
  <si>
    <t>Storage Shed (40 × 80)</t>
  </si>
  <si>
    <t>Auger W/3 Bits/Skid Steer</t>
  </si>
  <si>
    <t>Sled/Twining Cart</t>
  </si>
  <si>
    <t>Flatbed Truck (large)</t>
  </si>
  <si>
    <t>Flatbed Truck (small)</t>
  </si>
  <si>
    <t>C. Salvage value refers to the estimated value of an asset at the end of its useful life. In general, a salvage value will be a positive value. However, it may be zero if the asset will be used until it is completely worn out and will have no scrap value at the end of its useful life.</t>
  </si>
  <si>
    <t>By Suzette P. Galinato and Peter R. Tozer</t>
  </si>
  <si>
    <r>
      <t>Appendix 4. Net Present Value</t>
    </r>
    <r>
      <rPr>
        <b/>
        <vertAlign val="superscript"/>
        <sz val="14"/>
        <rFont val="Times New Roman"/>
        <family val="1"/>
      </rPr>
      <t>A</t>
    </r>
    <r>
      <rPr>
        <b/>
        <sz val="14"/>
        <rFont val="Times New Roman"/>
        <family val="1"/>
      </rPr>
      <t xml:space="preserve"> and Payback Period</t>
    </r>
    <r>
      <rPr>
        <b/>
        <vertAlign val="superscript"/>
        <sz val="14"/>
        <rFont val="Times New Roman"/>
        <family val="1"/>
      </rPr>
      <t>B</t>
    </r>
    <r>
      <rPr>
        <b/>
        <sz val="14"/>
        <rFont val="Times New Roman"/>
        <family val="1"/>
      </rPr>
      <t xml:space="preserve"> Calculators</t>
    </r>
  </si>
  <si>
    <r>
      <t>Picking Equipment</t>
    </r>
    <r>
      <rPr>
        <vertAlign val="superscript"/>
        <sz val="11"/>
        <color rgb="FFC00000"/>
        <rFont val="Times New Roman"/>
        <family val="1"/>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</si>
</sst>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quot;$&quot;#,##0.0000"/>
    <numFmt numFmtId="167" formatCode="0.0%"/>
  </numFmts>
  <fonts count="36" x14ac:knownFonts="1">
    <font>
      <sz val="11"/>
      <color theme="1"/>
      <name val="Calibri"/>
      <family val="2"/>
      <scheme val="minor"/>
    </font>
    <font>
      <sz val="11"/>
      <color theme="1"/>
      <name val="Calibri"/>
      <family val="2"/>
      <scheme val="minor"/>
    </font>
    <font>
      <sz val="11"/>
      <name val="Times New Roman"/>
      <family val="1"/>
    </font>
    <font>
      <b/>
      <sz val="18"/>
      <name val="Times New Roman"/>
      <family val="1"/>
    </font>
    <font>
      <sz val="11"/>
      <color indexed="8"/>
      <name val="Times New Roman"/>
      <family val="1"/>
    </font>
    <font>
      <b/>
      <sz val="11"/>
      <name val="Times New Roman"/>
      <family val="1"/>
    </font>
    <font>
      <sz val="11"/>
      <color rgb="FFC00000"/>
      <name val="Times New Roman"/>
      <family val="1"/>
    </font>
    <font>
      <b/>
      <sz val="14"/>
      <name val="Times New Roman"/>
      <family val="1"/>
    </font>
    <font>
      <sz val="11"/>
      <color theme="1"/>
      <name val="Times New Roman"/>
      <family val="1"/>
    </font>
    <font>
      <b/>
      <i/>
      <sz val="11"/>
      <name val="Times New Roman"/>
      <family val="1"/>
    </font>
    <font>
      <sz val="14"/>
      <color theme="1"/>
      <name val="Times New Roman"/>
      <family val="1"/>
    </font>
    <font>
      <b/>
      <vertAlign val="superscript"/>
      <sz val="11"/>
      <name val="Times New Roman"/>
      <family val="1"/>
    </font>
    <font>
      <b/>
      <sz val="11"/>
      <color theme="1"/>
      <name val="Times New Roman"/>
      <family val="1"/>
    </font>
    <font>
      <b/>
      <i/>
      <sz val="11"/>
      <color theme="1"/>
      <name val="Times New Roman"/>
      <family val="1"/>
    </font>
    <font>
      <sz val="11"/>
      <color rgb="FFFF0000"/>
      <name val="Times New Roman"/>
      <family val="1"/>
    </font>
    <font>
      <vertAlign val="superscript"/>
      <sz val="11"/>
      <color theme="1"/>
      <name val="Times New Roman"/>
      <family val="1"/>
    </font>
    <font>
      <b/>
      <sz val="11"/>
      <color rgb="FFFF0000"/>
      <name val="Times New Roman"/>
      <family val="1"/>
    </font>
    <font>
      <sz val="10"/>
      <color theme="1"/>
      <name val="Times New Roman"/>
      <family val="1"/>
    </font>
    <font>
      <vertAlign val="superscript"/>
      <sz val="11"/>
      <name val="Times New Roman"/>
      <family val="1"/>
    </font>
    <font>
      <b/>
      <sz val="14"/>
      <color theme="1"/>
      <name val="Times New Roman"/>
      <family val="1"/>
    </font>
    <font>
      <b/>
      <vertAlign val="superscript"/>
      <sz val="14"/>
      <color theme="1"/>
      <name val="Times New Roman"/>
      <family val="1"/>
    </font>
    <font>
      <i/>
      <sz val="10"/>
      <color theme="1"/>
      <name val="Times New Roman"/>
      <family val="1"/>
    </font>
    <font>
      <i/>
      <sz val="10"/>
      <color rgb="FFC00000"/>
      <name val="Times New Roman"/>
      <family val="1"/>
    </font>
    <font>
      <sz val="10"/>
      <name val="Times New Roman"/>
      <family val="1"/>
    </font>
    <font>
      <sz val="11"/>
      <color theme="9" tint="-0.249977111117893"/>
      <name val="Times New Roman"/>
      <family val="1"/>
    </font>
    <font>
      <b/>
      <sz val="14"/>
      <color indexed="8"/>
      <name val="Times New Roman"/>
      <family val="1"/>
    </font>
    <font>
      <b/>
      <sz val="11"/>
      <color rgb="FFC00000"/>
      <name val="Times New Roman"/>
      <family val="1"/>
    </font>
    <font>
      <vertAlign val="superscript"/>
      <sz val="10"/>
      <name val="Times New Roman"/>
      <family val="1"/>
    </font>
    <font>
      <sz val="10"/>
      <color indexed="8"/>
      <name val="Times New Roman"/>
      <family val="1"/>
    </font>
    <font>
      <b/>
      <sz val="13"/>
      <name val="Times New Roman"/>
      <family val="1"/>
    </font>
    <font>
      <b/>
      <vertAlign val="superscript"/>
      <sz val="11"/>
      <color theme="1"/>
      <name val="Times New Roman"/>
      <family val="1"/>
    </font>
    <font>
      <sz val="11"/>
      <color theme="3"/>
      <name val="Times New Roman"/>
      <family val="1"/>
    </font>
    <font>
      <sz val="12"/>
      <name val="Times New Roman"/>
      <family val="1"/>
    </font>
    <font>
      <sz val="11"/>
      <color indexed="8"/>
      <name val="Calibri"/>
      <family val="2"/>
    </font>
    <font>
      <b/>
      <vertAlign val="superscript"/>
      <sz val="14"/>
      <name val="Times New Roman"/>
      <family val="1"/>
    </font>
    <font>
      <vertAlign val="superscript"/>
      <sz val="11"/>
      <color rgb="FFC00000"/>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tint="-0.14996795556505021"/>
      </bottom>
      <diagonal/>
    </border>
    <border>
      <left/>
      <right/>
      <top style="thin">
        <color theme="0" tint="-0.14996795556505021"/>
      </top>
      <bottom style="thin">
        <color indexed="64"/>
      </bottom>
      <diagonal/>
    </border>
  </borders>
  <cellStyleXfs count="4">
    <xf numFmtId="0" fontId="0" fillId="0" borderId="0"/>
    <xf numFmtId="9" fontId="1"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cellStyleXfs>
  <cellXfs count="276">
    <xf numFmtId="0" fontId="0" fillId="0" borderId="0" xfId="0"/>
    <xf numFmtId="0" fontId="2" fillId="2" borderId="0" xfId="0" applyFont="1" applyFill="1"/>
    <xf numFmtId="0" fontId="4" fillId="3" borderId="0" xfId="0" applyFont="1" applyFill="1"/>
    <xf numFmtId="0" fontId="5" fillId="3" borderId="0" xfId="0" applyFont="1" applyFill="1"/>
    <xf numFmtId="0" fontId="2" fillId="3" borderId="0" xfId="0" applyFont="1" applyFill="1"/>
    <xf numFmtId="0" fontId="2" fillId="3" borderId="0" xfId="0" quotePrefix="1" applyFont="1" applyFill="1" applyBorder="1" applyAlignment="1">
      <alignment horizontal="right" indent="1"/>
    </xf>
    <xf numFmtId="0" fontId="4" fillId="3" borderId="0" xfId="0" quotePrefix="1" applyFont="1" applyFill="1" applyBorder="1" applyAlignment="1">
      <alignment horizontal="right" vertical="top" indent="1"/>
    </xf>
    <xf numFmtId="0" fontId="2" fillId="3"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xf numFmtId="0" fontId="2" fillId="2" borderId="0" xfId="0" quotePrefix="1" applyFont="1" applyFill="1" applyBorder="1" applyAlignment="1">
      <alignment horizontal="right" vertical="top"/>
    </xf>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0" xfId="0" applyFont="1" applyFill="1" applyBorder="1" applyAlignment="1">
      <alignment vertical="top"/>
    </xf>
    <xf numFmtId="0" fontId="2" fillId="2" borderId="0" xfId="0" applyFont="1" applyFill="1" applyBorder="1" applyAlignment="1">
      <alignment vertical="top" wrapText="1"/>
    </xf>
    <xf numFmtId="0" fontId="5" fillId="3" borderId="0" xfId="0" applyFont="1" applyFill="1" applyBorder="1" applyAlignment="1">
      <alignment horizontal="left"/>
    </xf>
    <xf numFmtId="0" fontId="2" fillId="2" borderId="0" xfId="0" applyFont="1" applyFill="1" applyBorder="1"/>
    <xf numFmtId="0" fontId="2" fillId="2" borderId="1" xfId="0" applyFont="1" applyFill="1" applyBorder="1"/>
    <xf numFmtId="0" fontId="6" fillId="2" borderId="0" xfId="0" applyFont="1" applyFill="1"/>
    <xf numFmtId="0" fontId="6" fillId="2" borderId="1" xfId="0" applyFont="1" applyFill="1" applyBorder="1"/>
    <xf numFmtId="0" fontId="8" fillId="2" borderId="0" xfId="0" applyFont="1" applyFill="1" applyBorder="1"/>
    <xf numFmtId="0" fontId="8" fillId="2" borderId="0" xfId="0" applyFont="1" applyFill="1"/>
    <xf numFmtId="0" fontId="2" fillId="2" borderId="3" xfId="0" applyFont="1" applyFill="1" applyBorder="1" applyAlignment="1" applyProtection="1"/>
    <xf numFmtId="0" fontId="5" fillId="2" borderId="3" xfId="0" applyFont="1" applyFill="1" applyBorder="1" applyAlignment="1" applyProtection="1">
      <alignment horizontal="center" wrapText="1"/>
    </xf>
    <xf numFmtId="0" fontId="5" fillId="2" borderId="3" xfId="0" applyFont="1" applyFill="1" applyBorder="1" applyAlignment="1" applyProtection="1">
      <alignment horizontal="left"/>
    </xf>
    <xf numFmtId="0" fontId="6" fillId="2" borderId="3" xfId="0" applyFont="1" applyFill="1" applyBorder="1" applyAlignment="1">
      <alignment horizontal="center"/>
    </xf>
    <xf numFmtId="0" fontId="5" fillId="2" borderId="0" xfId="0" applyFont="1" applyFill="1" applyBorder="1" applyAlignment="1"/>
    <xf numFmtId="0" fontId="5" fillId="2" borderId="0" xfId="0" applyFont="1" applyFill="1" applyBorder="1" applyAlignment="1" applyProtection="1">
      <alignment horizontal="center"/>
    </xf>
    <xf numFmtId="0" fontId="2" fillId="2" borderId="0" xfId="0" applyFont="1" applyFill="1" applyBorder="1" applyAlignment="1" applyProtection="1">
      <protection locked="0"/>
    </xf>
    <xf numFmtId="0" fontId="8" fillId="2" borderId="10" xfId="0" applyFont="1" applyFill="1" applyBorder="1"/>
    <xf numFmtId="0" fontId="2" fillId="2" borderId="0" xfId="0" applyFont="1" applyFill="1" applyBorder="1" applyAlignment="1">
      <alignment horizontal="left"/>
    </xf>
    <xf numFmtId="0" fontId="9" fillId="2" borderId="0" xfId="0" applyFont="1" applyFill="1" applyBorder="1" applyAlignment="1"/>
    <xf numFmtId="164" fontId="9" fillId="2" borderId="0" xfId="0" applyNumberFormat="1" applyFont="1" applyFill="1" applyBorder="1"/>
    <xf numFmtId="2" fontId="2" fillId="2" borderId="0" xfId="0" applyNumberFormat="1" applyFont="1" applyFill="1" applyBorder="1" applyProtection="1"/>
    <xf numFmtId="164" fontId="2" fillId="2" borderId="0" xfId="0" applyNumberFormat="1" applyFont="1" applyFill="1" applyBorder="1" applyProtection="1"/>
    <xf numFmtId="2" fontId="2" fillId="2" borderId="0" xfId="0" applyNumberFormat="1" applyFont="1" applyFill="1" applyBorder="1" applyProtection="1">
      <protection locked="0"/>
    </xf>
    <xf numFmtId="0" fontId="9" fillId="2" borderId="0" xfId="0" applyFont="1" applyFill="1" applyBorder="1"/>
    <xf numFmtId="0" fontId="2" fillId="2" borderId="0" xfId="0" applyFont="1" applyFill="1" applyBorder="1" applyProtection="1"/>
    <xf numFmtId="0" fontId="5" fillId="2" borderId="0" xfId="0" applyFont="1" applyFill="1" applyBorder="1"/>
    <xf numFmtId="164" fontId="5" fillId="2" borderId="0" xfId="0" applyNumberFormat="1" applyFont="1" applyFill="1" applyBorder="1" applyProtection="1"/>
    <xf numFmtId="0" fontId="2" fillId="2" borderId="0" xfId="0" applyFont="1" applyFill="1" applyBorder="1" applyProtection="1">
      <protection locked="0"/>
    </xf>
    <xf numFmtId="2" fontId="2" fillId="2" borderId="1" xfId="0" applyNumberFormat="1" applyFont="1" applyFill="1" applyBorder="1"/>
    <xf numFmtId="0" fontId="8" fillId="2" borderId="11" xfId="0" applyFont="1" applyFill="1" applyBorder="1"/>
    <xf numFmtId="2" fontId="8" fillId="2" borderId="0" xfId="0" applyNumberFormat="1" applyFont="1" applyFill="1"/>
    <xf numFmtId="0" fontId="8" fillId="2" borderId="0" xfId="0" applyFont="1" applyFill="1" applyAlignment="1">
      <alignment horizontal="right"/>
    </xf>
    <xf numFmtId="0" fontId="8" fillId="2" borderId="3" xfId="0" applyFont="1" applyFill="1" applyBorder="1" applyProtection="1"/>
    <xf numFmtId="0" fontId="5" fillId="2" borderId="3" xfId="0" applyFont="1" applyFill="1" applyBorder="1" applyAlignment="1" applyProtection="1">
      <alignment horizontal="right" wrapText="1"/>
    </xf>
    <xf numFmtId="0" fontId="6" fillId="2" borderId="3" xfId="0" applyFont="1" applyFill="1" applyBorder="1" applyAlignment="1">
      <alignment horizontal="center" wrapText="1"/>
    </xf>
    <xf numFmtId="0" fontId="12" fillId="2" borderId="0" xfId="0" applyFont="1" applyFill="1" applyBorder="1" applyAlignment="1"/>
    <xf numFmtId="2" fontId="5" fillId="2" borderId="0" xfId="0" applyNumberFormat="1" applyFont="1" applyFill="1" applyBorder="1" applyAlignment="1" applyProtection="1">
      <alignment horizontal="right"/>
    </xf>
    <xf numFmtId="1" fontId="8" fillId="2" borderId="0" xfId="0" applyNumberFormat="1" applyFont="1" applyFill="1" applyBorder="1" applyAlignment="1" applyProtection="1"/>
    <xf numFmtId="0" fontId="8" fillId="2" borderId="0" xfId="0" applyFont="1" applyFill="1" applyBorder="1" applyAlignment="1"/>
    <xf numFmtId="164" fontId="6" fillId="2" borderId="0" xfId="0" applyNumberFormat="1" applyFont="1" applyFill="1" applyBorder="1" applyAlignment="1"/>
    <xf numFmtId="164" fontId="6" fillId="2" borderId="0" xfId="0" applyNumberFormat="1" applyFont="1" applyFill="1" applyBorder="1" applyAlignment="1" applyProtection="1">
      <alignment horizontal="right"/>
      <protection locked="0"/>
    </xf>
    <xf numFmtId="2" fontId="8" fillId="2" borderId="0" xfId="0" applyNumberFormat="1" applyFont="1" applyFill="1" applyBorder="1" applyAlignment="1" applyProtection="1">
      <protection locked="0"/>
    </xf>
    <xf numFmtId="0" fontId="2" fillId="2" borderId="0" xfId="0" applyFont="1" applyFill="1" applyBorder="1" applyAlignment="1"/>
    <xf numFmtId="2" fontId="8" fillId="2" borderId="0" xfId="0" applyNumberFormat="1" applyFont="1" applyFill="1" applyBorder="1" applyAlignment="1" applyProtection="1">
      <alignment horizontal="left"/>
      <protection locked="0"/>
    </xf>
    <xf numFmtId="0" fontId="2" fillId="2" borderId="0" xfId="0" applyNumberFormat="1" applyFont="1" applyFill="1" applyBorder="1" applyAlignment="1" applyProtection="1">
      <protection locked="0"/>
    </xf>
    <xf numFmtId="164" fontId="13" fillId="2" borderId="0" xfId="0" applyNumberFormat="1" applyFont="1" applyFill="1" applyBorder="1" applyAlignment="1">
      <alignment horizontal="right"/>
    </xf>
    <xf numFmtId="0" fontId="8" fillId="2" borderId="0" xfId="0" applyFont="1" applyFill="1" applyBorder="1" applyProtection="1"/>
    <xf numFmtId="164" fontId="8" fillId="2" borderId="0" xfId="0" applyNumberFormat="1" applyFont="1" applyFill="1" applyBorder="1" applyProtection="1"/>
    <xf numFmtId="164" fontId="8" fillId="2" borderId="0" xfId="0" applyNumberFormat="1" applyFont="1" applyFill="1" applyBorder="1" applyAlignment="1" applyProtection="1">
      <alignment horizontal="right"/>
    </xf>
    <xf numFmtId="2" fontId="8" fillId="2" borderId="0" xfId="0" applyNumberFormat="1" applyFont="1" applyFill="1" applyBorder="1" applyAlignment="1" applyProtection="1"/>
    <xf numFmtId="164" fontId="12" fillId="2" borderId="0" xfId="0" applyNumberFormat="1" applyFont="1" applyFill="1" applyBorder="1" applyAlignment="1"/>
    <xf numFmtId="164" fontId="6" fillId="2" borderId="0" xfId="0" applyNumberFormat="1" applyFont="1" applyFill="1" applyBorder="1" applyAlignment="1" applyProtection="1">
      <alignment horizontal="right"/>
    </xf>
    <xf numFmtId="2" fontId="2" fillId="2" borderId="0" xfId="0" applyNumberFormat="1" applyFont="1" applyFill="1" applyBorder="1" applyAlignment="1" applyProtection="1">
      <protection locked="0"/>
    </xf>
    <xf numFmtId="0" fontId="14" fillId="2" borderId="0" xfId="0" applyFont="1" applyFill="1"/>
    <xf numFmtId="0" fontId="8" fillId="2" borderId="0" xfId="0" applyFont="1" applyFill="1" applyBorder="1" applyAlignment="1" applyProtection="1">
      <protection locked="0"/>
    </xf>
    <xf numFmtId="164" fontId="13" fillId="2" borderId="0" xfId="0" applyNumberFormat="1" applyFont="1" applyFill="1" applyBorder="1" applyAlignment="1" applyProtection="1">
      <alignment horizontal="right"/>
    </xf>
    <xf numFmtId="164" fontId="8" fillId="2" borderId="0" xfId="0" applyNumberFormat="1" applyFont="1" applyFill="1" applyBorder="1" applyAlignment="1"/>
    <xf numFmtId="164" fontId="12" fillId="2" borderId="0" xfId="0" applyNumberFormat="1" applyFont="1" applyFill="1" applyBorder="1" applyAlignment="1" applyProtection="1">
      <alignment horizontal="right"/>
    </xf>
    <xf numFmtId="4" fontId="8" fillId="2" borderId="0" xfId="0" applyNumberFormat="1" applyFont="1" applyFill="1" applyBorder="1" applyAlignment="1" applyProtection="1">
      <alignment horizontal="right"/>
    </xf>
    <xf numFmtId="4" fontId="16" fillId="2" borderId="0" xfId="0" applyNumberFormat="1" applyFont="1" applyFill="1" applyBorder="1" applyAlignment="1" applyProtection="1">
      <alignment horizontal="right"/>
    </xf>
    <xf numFmtId="3" fontId="8" fillId="2" borderId="0" xfId="0" applyNumberFormat="1" applyFont="1" applyFill="1" applyBorder="1" applyAlignment="1" applyProtection="1">
      <alignment horizontal="left"/>
      <protection locked="0"/>
    </xf>
    <xf numFmtId="0" fontId="12" fillId="2" borderId="0" xfId="0" applyFont="1" applyFill="1" applyBorder="1" applyAlignment="1" applyProtection="1"/>
    <xf numFmtId="164" fontId="12" fillId="2" borderId="0" xfId="0" applyNumberFormat="1" applyFont="1" applyFill="1" applyBorder="1" applyAlignment="1" applyProtection="1"/>
    <xf numFmtId="0" fontId="8" fillId="2" borderId="1" xfId="0" applyFont="1" applyFill="1" applyBorder="1"/>
    <xf numFmtId="0" fontId="8" fillId="2" borderId="1" xfId="0" applyFont="1" applyFill="1" applyBorder="1" applyAlignment="1">
      <alignment horizontal="right"/>
    </xf>
    <xf numFmtId="0" fontId="17" fillId="2" borderId="0" xfId="0" applyFont="1" applyFill="1"/>
    <xf numFmtId="164" fontId="8" fillId="2" borderId="0" xfId="0" applyNumberFormat="1" applyFont="1" applyFill="1" applyAlignment="1">
      <alignment horizontal="right"/>
    </xf>
    <xf numFmtId="3" fontId="6" fillId="2" borderId="0" xfId="0" applyNumberFormat="1" applyFont="1" applyFill="1" applyBorder="1" applyAlignment="1"/>
    <xf numFmtId="3" fontId="6" fillId="2" borderId="0" xfId="0" applyNumberFormat="1" applyFont="1" applyFill="1" applyBorder="1" applyAlignment="1" applyProtection="1">
      <alignment horizontal="right"/>
    </xf>
    <xf numFmtId="7" fontId="6" fillId="2" borderId="1" xfId="0" applyNumberFormat="1" applyFont="1" applyFill="1" applyBorder="1"/>
    <xf numFmtId="3" fontId="6" fillId="2" borderId="0" xfId="0" applyNumberFormat="1" applyFont="1" applyFill="1" applyBorder="1" applyAlignment="1">
      <alignment horizontal="center"/>
    </xf>
    <xf numFmtId="165" fontId="2" fillId="2" borderId="0" xfId="0" applyNumberFormat="1" applyFont="1" applyFill="1" applyBorder="1"/>
    <xf numFmtId="165" fontId="2" fillId="4" borderId="0" xfId="0" applyNumberFormat="1" applyFont="1" applyFill="1" applyBorder="1"/>
    <xf numFmtId="0" fontId="21" fillId="2" borderId="3" xfId="0" applyFont="1" applyFill="1" applyBorder="1"/>
    <xf numFmtId="167" fontId="22" fillId="2" borderId="3" xfId="1" applyNumberFormat="1" applyFont="1" applyFill="1" applyBorder="1" applyAlignment="1">
      <alignment horizontal="left"/>
    </xf>
    <xf numFmtId="0" fontId="23" fillId="2" borderId="0" xfId="0" applyFont="1" applyFill="1" applyBorder="1" applyAlignment="1" applyProtection="1">
      <alignment horizontal="left"/>
      <protection locked="0"/>
    </xf>
    <xf numFmtId="9" fontId="24" fillId="2" borderId="0" xfId="0" applyNumberFormat="1" applyFont="1" applyFill="1" applyBorder="1" applyAlignment="1">
      <alignment horizontal="left"/>
    </xf>
    <xf numFmtId="0" fontId="23" fillId="2" borderId="0" xfId="0" applyFont="1" applyFill="1"/>
    <xf numFmtId="164" fontId="8" fillId="2" borderId="0" xfId="0" applyNumberFormat="1" applyFont="1" applyFill="1"/>
    <xf numFmtId="166" fontId="8" fillId="2" borderId="0" xfId="0" applyNumberFormat="1" applyFont="1" applyFill="1"/>
    <xf numFmtId="164" fontId="6" fillId="2" borderId="0" xfId="0" applyNumberFormat="1" applyFont="1" applyFill="1" applyBorder="1" applyProtection="1">
      <protection locked="0"/>
    </xf>
    <xf numFmtId="0" fontId="8" fillId="2" borderId="0" xfId="0" applyFont="1" applyFill="1" applyAlignment="1">
      <alignment horizontal="center"/>
    </xf>
    <xf numFmtId="165" fontId="2" fillId="2" borderId="0" xfId="0" applyNumberFormat="1" applyFont="1" applyFill="1" applyBorder="1" applyAlignment="1">
      <alignment horizontal="center" wrapText="1"/>
    </xf>
    <xf numFmtId="9" fontId="8" fillId="2" borderId="0" xfId="1" applyFont="1" applyFill="1"/>
    <xf numFmtId="3" fontId="5" fillId="2" borderId="0" xfId="0" applyNumberFormat="1" applyFont="1" applyFill="1" applyBorder="1" applyAlignment="1">
      <alignment horizontal="center" wrapText="1"/>
    </xf>
    <xf numFmtId="165" fontId="5" fillId="2" borderId="0" xfId="0" applyNumberFormat="1" applyFont="1" applyFill="1" applyBorder="1" applyAlignment="1">
      <alignment horizontal="center" wrapText="1"/>
    </xf>
    <xf numFmtId="165" fontId="5" fillId="2" borderId="1" xfId="0" applyNumberFormat="1" applyFont="1" applyFill="1" applyBorder="1" applyAlignment="1">
      <alignment horizontal="center" wrapText="1"/>
    </xf>
    <xf numFmtId="0" fontId="2" fillId="3" borderId="0" xfId="0" applyFont="1" applyFill="1" applyAlignment="1">
      <alignment horizontal="center"/>
    </xf>
    <xf numFmtId="0" fontId="2" fillId="3" borderId="2" xfId="0" applyFont="1" applyFill="1" applyBorder="1"/>
    <xf numFmtId="0" fontId="2" fillId="3" borderId="1" xfId="0" applyFont="1" applyFill="1" applyBorder="1"/>
    <xf numFmtId="0" fontId="5" fillId="3" borderId="1" xfId="0" applyFont="1" applyFill="1" applyBorder="1" applyAlignment="1">
      <alignment horizontal="center"/>
    </xf>
    <xf numFmtId="0" fontId="2" fillId="3" borderId="0" xfId="0" quotePrefix="1" applyFont="1" applyFill="1"/>
    <xf numFmtId="0" fontId="5" fillId="3" borderId="0" xfId="0" applyFont="1" applyFill="1" applyBorder="1"/>
    <xf numFmtId="0" fontId="2" fillId="3" borderId="0" xfId="0" applyFont="1" applyFill="1" applyBorder="1" applyAlignment="1">
      <alignment horizontal="center"/>
    </xf>
    <xf numFmtId="0" fontId="2" fillId="3" borderId="0" xfId="0" applyFont="1" applyFill="1" applyAlignment="1">
      <alignment horizontal="left" indent="1"/>
    </xf>
    <xf numFmtId="43" fontId="2" fillId="3" borderId="0" xfId="0" applyNumberFormat="1" applyFont="1" applyFill="1"/>
    <xf numFmtId="0" fontId="5" fillId="3" borderId="0" xfId="0" applyFont="1" applyFill="1" applyAlignment="1">
      <alignment horizontal="left"/>
    </xf>
    <xf numFmtId="39" fontId="2" fillId="3" borderId="0" xfId="0" applyNumberFormat="1" applyFont="1" applyFill="1"/>
    <xf numFmtId="0" fontId="5" fillId="3" borderId="1" xfId="0" applyFont="1" applyFill="1" applyBorder="1"/>
    <xf numFmtId="39" fontId="2" fillId="3" borderId="1" xfId="0" applyNumberFormat="1" applyFont="1" applyFill="1" applyBorder="1"/>
    <xf numFmtId="0" fontId="23" fillId="3" borderId="0" xfId="0" applyFont="1" applyFill="1"/>
    <xf numFmtId="0" fontId="23" fillId="3" borderId="0" xfId="0" applyFont="1" applyFill="1" applyBorder="1"/>
    <xf numFmtId="0" fontId="7" fillId="3" borderId="0" xfId="0" applyFont="1" applyFill="1" applyBorder="1" applyAlignment="1">
      <alignment wrapText="1"/>
    </xf>
    <xf numFmtId="4" fontId="2" fillId="3" borderId="0" xfId="0" applyNumberFormat="1" applyFont="1" applyFill="1"/>
    <xf numFmtId="4" fontId="2" fillId="3" borderId="0" xfId="0" applyNumberFormat="1" applyFont="1" applyFill="1" applyAlignment="1">
      <alignment horizontal="right" vertical="center" indent="2"/>
    </xf>
    <xf numFmtId="2" fontId="2" fillId="3" borderId="0" xfId="0" applyNumberFormat="1" applyFont="1" applyFill="1"/>
    <xf numFmtId="0" fontId="6" fillId="3" borderId="0" xfId="0" applyFont="1" applyFill="1" applyAlignment="1">
      <alignment vertical="top" wrapText="1"/>
    </xf>
    <xf numFmtId="43" fontId="6" fillId="3" borderId="0" xfId="0" applyNumberFormat="1" applyFont="1" applyFill="1" applyAlignment="1">
      <alignment vertical="top"/>
    </xf>
    <xf numFmtId="0" fontId="2" fillId="3" borderId="0" xfId="0" applyFont="1" applyFill="1" applyAlignment="1">
      <alignment vertical="top"/>
    </xf>
    <xf numFmtId="0" fontId="2" fillId="3" borderId="0" xfId="0" applyFont="1" applyFill="1" applyBorder="1"/>
    <xf numFmtId="4" fontId="2" fillId="3" borderId="0" xfId="0" applyNumberFormat="1" applyFont="1" applyFill="1" applyBorder="1" applyAlignment="1">
      <alignment horizontal="right" vertical="center" indent="2"/>
    </xf>
    <xf numFmtId="0" fontId="2" fillId="2" borderId="0" xfId="0" applyFont="1" applyFill="1" applyProtection="1">
      <protection locked="0"/>
    </xf>
    <xf numFmtId="0" fontId="8" fillId="2" borderId="0" xfId="0" applyFont="1" applyFill="1" applyProtection="1">
      <protection locked="0"/>
    </xf>
    <xf numFmtId="0" fontId="7"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8" fillId="2" borderId="0" xfId="0" applyFont="1" applyFill="1" applyBorder="1" applyProtection="1">
      <protection locked="0"/>
    </xf>
    <xf numFmtId="164" fontId="8" fillId="2" borderId="0" xfId="0" applyNumberFormat="1" applyFont="1" applyFill="1" applyBorder="1" applyProtection="1">
      <protection locked="0"/>
    </xf>
    <xf numFmtId="1" fontId="6" fillId="2" borderId="0" xfId="0" applyNumberFormat="1" applyFont="1" applyFill="1" applyBorder="1" applyProtection="1">
      <protection locked="0"/>
    </xf>
    <xf numFmtId="10" fontId="6" fillId="2" borderId="0" xfId="0" applyNumberFormat="1" applyFont="1" applyFill="1" applyBorder="1" applyProtection="1">
      <protection locked="0"/>
    </xf>
    <xf numFmtId="0" fontId="8" fillId="2" borderId="1" xfId="0" applyFont="1" applyFill="1" applyBorder="1" applyProtection="1">
      <protection locked="0"/>
    </xf>
    <xf numFmtId="164" fontId="8" fillId="2" borderId="1" xfId="0" applyNumberFormat="1" applyFont="1" applyFill="1" applyBorder="1" applyProtection="1"/>
    <xf numFmtId="0" fontId="28" fillId="3" borderId="0" xfId="0" applyFont="1" applyFill="1"/>
    <xf numFmtId="0" fontId="29" fillId="2" borderId="0" xfId="0" applyFont="1" applyFill="1" applyBorder="1" applyAlignment="1">
      <alignment vertical="top"/>
    </xf>
    <xf numFmtId="0" fontId="8" fillId="2" borderId="0" xfId="0" applyFont="1" applyFill="1" applyAlignment="1">
      <alignment horizontal="left"/>
    </xf>
    <xf numFmtId="0" fontId="12" fillId="2" borderId="0" xfId="0" applyFont="1" applyFill="1" applyAlignment="1">
      <alignment horizontal="left" vertical="top"/>
    </xf>
    <xf numFmtId="0" fontId="8" fillId="2" borderId="0" xfId="0" applyFont="1" applyFill="1" applyBorder="1" applyAlignment="1">
      <alignment horizontal="right"/>
    </xf>
    <xf numFmtId="0" fontId="12" fillId="2" borderId="2" xfId="0" applyFont="1" applyFill="1" applyBorder="1" applyAlignment="1">
      <alignment horizontal="right"/>
    </xf>
    <xf numFmtId="0" fontId="12" fillId="2" borderId="2" xfId="0" applyFont="1" applyFill="1" applyBorder="1" applyAlignment="1">
      <alignment horizontal="right" wrapText="1"/>
    </xf>
    <xf numFmtId="0" fontId="12" fillId="2" borderId="5" xfId="0" applyFont="1" applyFill="1" applyBorder="1" applyAlignment="1">
      <alignment horizontal="right" wrapText="1"/>
    </xf>
    <xf numFmtId="0" fontId="12" fillId="2" borderId="0" xfId="0" applyFont="1" applyFill="1" applyBorder="1" applyAlignment="1">
      <alignment horizontal="right" wrapText="1"/>
    </xf>
    <xf numFmtId="0" fontId="12" fillId="2" borderId="6" xfId="0" applyFont="1" applyFill="1" applyBorder="1"/>
    <xf numFmtId="0" fontId="8" fillId="2" borderId="0" xfId="0" applyFont="1" applyFill="1" applyBorder="1" applyAlignment="1">
      <alignment horizontal="left"/>
    </xf>
    <xf numFmtId="4" fontId="8" fillId="2" borderId="0" xfId="0" applyNumberFormat="1" applyFont="1" applyFill="1" applyBorder="1"/>
    <xf numFmtId="43" fontId="8" fillId="2" borderId="0" xfId="0" applyNumberFormat="1" applyFont="1" applyFill="1" applyBorder="1" applyAlignment="1">
      <alignment horizontal="right" wrapText="1"/>
    </xf>
    <xf numFmtId="4" fontId="8" fillId="2" borderId="0" xfId="0" applyNumberFormat="1" applyFont="1" applyFill="1" applyBorder="1" applyAlignment="1">
      <alignment horizontal="right"/>
    </xf>
    <xf numFmtId="4" fontId="8" fillId="2" borderId="7" xfId="0" applyNumberFormat="1" applyFont="1" applyFill="1" applyBorder="1" applyAlignment="1">
      <alignment horizontal="right"/>
    </xf>
    <xf numFmtId="4" fontId="8" fillId="2" borderId="7" xfId="0" applyNumberFormat="1" applyFont="1" applyFill="1" applyBorder="1"/>
    <xf numFmtId="0" fontId="8" fillId="2" borderId="6" xfId="0" applyFont="1" applyFill="1" applyBorder="1"/>
    <xf numFmtId="0" fontId="8" fillId="2" borderId="7" xfId="0" applyFont="1" applyFill="1" applyBorder="1" applyAlignment="1">
      <alignment horizontal="right"/>
    </xf>
    <xf numFmtId="0" fontId="8" fillId="2" borderId="7" xfId="0" applyFont="1" applyFill="1" applyBorder="1"/>
    <xf numFmtId="0" fontId="8" fillId="2" borderId="6" xfId="0" applyFont="1" applyFill="1" applyBorder="1" applyAlignment="1">
      <alignment horizontal="right"/>
    </xf>
    <xf numFmtId="0" fontId="6" fillId="2" borderId="0" xfId="0" applyFont="1" applyFill="1" applyBorder="1" applyAlignment="1">
      <alignment horizontal="right"/>
    </xf>
    <xf numFmtId="165" fontId="6" fillId="2" borderId="7" xfId="0" applyNumberFormat="1" applyFont="1" applyFill="1" applyBorder="1"/>
    <xf numFmtId="165" fontId="6" fillId="2" borderId="0" xfId="0" applyNumberFormat="1" applyFont="1" applyFill="1" applyBorder="1"/>
    <xf numFmtId="165" fontId="6" fillId="2" borderId="6" xfId="0" applyNumberFormat="1" applyFont="1" applyFill="1" applyBorder="1"/>
    <xf numFmtId="0" fontId="6" fillId="2" borderId="7" xfId="0" applyFont="1" applyFill="1" applyBorder="1"/>
    <xf numFmtId="0" fontId="6" fillId="2" borderId="0" xfId="0" applyFont="1" applyFill="1" applyBorder="1"/>
    <xf numFmtId="0" fontId="6" fillId="2" borderId="6" xfId="0" applyFont="1" applyFill="1" applyBorder="1"/>
    <xf numFmtId="4" fontId="6" fillId="2" borderId="0" xfId="0" applyNumberFormat="1" applyFont="1" applyFill="1" applyBorder="1"/>
    <xf numFmtId="4" fontId="6" fillId="2" borderId="6" xfId="0" applyNumberFormat="1" applyFont="1" applyFill="1" applyBorder="1"/>
    <xf numFmtId="0" fontId="26" fillId="2" borderId="0" xfId="0" applyFont="1" applyFill="1" applyBorder="1" applyAlignment="1">
      <alignment horizontal="right"/>
    </xf>
    <xf numFmtId="165" fontId="26" fillId="2" borderId="7" xfId="0" applyNumberFormat="1" applyFont="1" applyFill="1" applyBorder="1"/>
    <xf numFmtId="165" fontId="26" fillId="2" borderId="0" xfId="0" applyNumberFormat="1" applyFont="1" applyFill="1" applyBorder="1"/>
    <xf numFmtId="165" fontId="26" fillId="2" borderId="6" xfId="0" applyNumberFormat="1" applyFont="1" applyFill="1" applyBorder="1"/>
    <xf numFmtId="0" fontId="26" fillId="2" borderId="7" xfId="0" applyFont="1" applyFill="1" applyBorder="1"/>
    <xf numFmtId="0" fontId="26" fillId="2" borderId="0" xfId="0" applyFont="1" applyFill="1" applyBorder="1"/>
    <xf numFmtId="0" fontId="26" fillId="2" borderId="6" xfId="0" applyFont="1" applyFill="1" applyBorder="1"/>
    <xf numFmtId="0" fontId="8" fillId="2" borderId="8" xfId="0" applyFont="1" applyFill="1" applyBorder="1"/>
    <xf numFmtId="0" fontId="8" fillId="2" borderId="1" xfId="0" applyFont="1" applyFill="1" applyBorder="1" applyAlignment="1">
      <alignment horizontal="left"/>
    </xf>
    <xf numFmtId="0" fontId="8" fillId="2" borderId="1" xfId="0" applyFont="1" applyFill="1" applyBorder="1" applyAlignment="1">
      <alignment wrapText="1"/>
    </xf>
    <xf numFmtId="0" fontId="8" fillId="2" borderId="0" xfId="0" applyFont="1" applyFill="1" applyBorder="1" applyAlignment="1">
      <alignment wrapText="1"/>
    </xf>
    <xf numFmtId="0" fontId="8" fillId="2" borderId="8" xfId="0" applyFont="1" applyFill="1" applyBorder="1" applyAlignment="1">
      <alignment horizontal="left" wrapText="1"/>
    </xf>
    <xf numFmtId="0" fontId="8" fillId="2" borderId="8" xfId="0" applyFont="1" applyFill="1" applyBorder="1" applyAlignment="1">
      <alignment wrapText="1"/>
    </xf>
    <xf numFmtId="0" fontId="8" fillId="2" borderId="9" xfId="0" applyFont="1" applyFill="1" applyBorder="1"/>
    <xf numFmtId="0" fontId="8" fillId="2" borderId="0" xfId="0" applyFont="1" applyFill="1" applyBorder="1" applyAlignment="1">
      <alignment horizontal="left" wrapText="1"/>
    </xf>
    <xf numFmtId="8" fontId="8" fillId="2" borderId="0" xfId="0" applyNumberFormat="1" applyFont="1" applyFill="1" applyAlignment="1">
      <alignment horizontal="right"/>
    </xf>
    <xf numFmtId="167" fontId="8" fillId="2" borderId="9" xfId="0" applyNumberFormat="1" applyFont="1" applyFill="1" applyBorder="1" applyAlignment="1">
      <alignment wrapText="1"/>
    </xf>
    <xf numFmtId="0" fontId="8" fillId="2" borderId="0" xfId="1" applyNumberFormat="1" applyFont="1" applyFill="1"/>
    <xf numFmtId="0" fontId="8" fillId="2" borderId="0" xfId="0" applyNumberFormat="1" applyFont="1" applyFill="1"/>
    <xf numFmtId="10" fontId="8" fillId="2" borderId="0" xfId="1" applyNumberFormat="1" applyFont="1" applyFill="1"/>
    <xf numFmtId="0" fontId="12" fillId="2" borderId="2" xfId="0" applyFont="1" applyFill="1" applyBorder="1" applyAlignment="1">
      <alignment horizontal="left" wrapText="1"/>
    </xf>
    <xf numFmtId="0" fontId="12" fillId="2" borderId="0" xfId="0" applyFont="1" applyFill="1" applyBorder="1" applyAlignment="1">
      <alignment horizontal="left" wrapText="1"/>
    </xf>
    <xf numFmtId="0" fontId="12" fillId="2" borderId="0" xfId="0" applyFont="1" applyFill="1" applyAlignment="1">
      <alignment horizontal="center" vertical="top"/>
    </xf>
    <xf numFmtId="0" fontId="12" fillId="2" borderId="2" xfId="0" applyFont="1" applyFill="1" applyBorder="1" applyAlignment="1">
      <alignment horizontal="center"/>
    </xf>
    <xf numFmtId="0" fontId="8" fillId="2" borderId="0" xfId="0" applyFont="1" applyFill="1" applyBorder="1" applyAlignment="1">
      <alignment horizontal="center"/>
    </xf>
    <xf numFmtId="0" fontId="12" fillId="2" borderId="0"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Border="1" applyAlignment="1"/>
    <xf numFmtId="0" fontId="32" fillId="2" borderId="0" xfId="0" applyFont="1" applyFill="1" applyBorder="1" applyAlignment="1">
      <alignment vertical="top"/>
    </xf>
    <xf numFmtId="0" fontId="17" fillId="2" borderId="0" xfId="0" applyFont="1" applyFill="1" applyBorder="1" applyAlignment="1">
      <alignment horizontal="left" vertical="top" wrapText="1"/>
    </xf>
    <xf numFmtId="0" fontId="23" fillId="2" borderId="0" xfId="0" applyFont="1" applyFill="1" applyAlignment="1">
      <alignment horizontal="center"/>
    </xf>
    <xf numFmtId="0" fontId="12" fillId="2" borderId="0" xfId="0" applyFont="1" applyFill="1" applyBorder="1"/>
    <xf numFmtId="164" fontId="8" fillId="2" borderId="0" xfId="0" applyNumberFormat="1" applyFont="1" applyFill="1" applyBorder="1" applyAlignment="1">
      <alignment horizontal="right"/>
    </xf>
    <xf numFmtId="0" fontId="8" fillId="2" borderId="1" xfId="0" applyFont="1" applyFill="1" applyBorder="1" applyAlignment="1"/>
    <xf numFmtId="164" fontId="8" fillId="2" borderId="1" xfId="0" applyNumberFormat="1" applyFont="1" applyFill="1" applyBorder="1" applyAlignment="1">
      <alignment horizontal="right"/>
    </xf>
    <xf numFmtId="0" fontId="17" fillId="2" borderId="0" xfId="0" applyFont="1" applyFill="1" applyBorder="1"/>
    <xf numFmtId="0" fontId="2" fillId="3" borderId="0" xfId="0" quotePrefix="1" applyFont="1" applyFill="1" applyBorder="1" applyAlignment="1">
      <alignment horizontal="right" vertical="top" indent="1"/>
    </xf>
    <xf numFmtId="0" fontId="8" fillId="2" borderId="0" xfId="0" applyFont="1" applyFill="1" applyBorder="1" applyAlignment="1" applyProtection="1">
      <protection locked="0"/>
    </xf>
    <xf numFmtId="0" fontId="17" fillId="2" borderId="2" xfId="0" applyFont="1" applyFill="1" applyBorder="1" applyProtection="1">
      <protection locked="0"/>
    </xf>
    <xf numFmtId="164" fontId="8" fillId="2" borderId="2" xfId="0" applyNumberFormat="1" applyFont="1" applyFill="1" applyBorder="1" applyProtection="1"/>
    <xf numFmtId="0" fontId="8" fillId="2" borderId="0" xfId="0" applyFont="1" applyFill="1" applyAlignment="1" applyProtection="1">
      <alignment vertical="top"/>
      <protection locked="0"/>
    </xf>
    <xf numFmtId="164" fontId="6" fillId="2" borderId="7" xfId="0" applyNumberFormat="1" applyFont="1" applyFill="1" applyBorder="1"/>
    <xf numFmtId="3" fontId="6" fillId="2" borderId="7" xfId="0" applyNumberFormat="1" applyFont="1" applyFill="1" applyBorder="1"/>
    <xf numFmtId="2" fontId="26" fillId="2" borderId="7" xfId="0" applyNumberFormat="1" applyFont="1" applyFill="1" applyBorder="1" applyAlignment="1">
      <alignment horizontal="right"/>
    </xf>
    <xf numFmtId="3" fontId="2" fillId="2" borderId="0" xfId="0" applyNumberFormat="1" applyFont="1" applyFill="1" applyBorder="1" applyAlignment="1">
      <alignment horizontal="center" wrapText="1"/>
    </xf>
    <xf numFmtId="0" fontId="2" fillId="2" borderId="0" xfId="0" applyFont="1" applyFill="1" applyBorder="1" applyAlignment="1">
      <alignment horizontal="center"/>
    </xf>
    <xf numFmtId="0" fontId="5" fillId="2" borderId="0" xfId="0" applyFont="1" applyFill="1" applyBorder="1" applyAlignment="1">
      <alignment horizontal="center"/>
    </xf>
    <xf numFmtId="3" fontId="5" fillId="2" borderId="0"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0" fontId="5" fillId="2" borderId="1" xfId="0" applyFont="1" applyFill="1" applyBorder="1" applyAlignment="1"/>
    <xf numFmtId="0" fontId="5" fillId="2" borderId="1" xfId="0" applyFont="1" applyFill="1" applyBorder="1" applyAlignment="1">
      <alignment horizontal="center"/>
    </xf>
    <xf numFmtId="3" fontId="5" fillId="2" borderId="1" xfId="0" applyNumberFormat="1" applyFont="1" applyFill="1" applyBorder="1" applyAlignment="1">
      <alignment horizontal="center" wrapText="1"/>
    </xf>
    <xf numFmtId="3" fontId="5" fillId="2"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2" fillId="2" borderId="1" xfId="0" applyFont="1" applyFill="1" applyBorder="1" applyAlignment="1"/>
    <xf numFmtId="3" fontId="2" fillId="2" borderId="1" xfId="0" applyNumberFormat="1" applyFont="1" applyFill="1" applyBorder="1" applyAlignment="1">
      <alignment horizontal="center" wrapText="1"/>
    </xf>
    <xf numFmtId="3" fontId="2" fillId="2" borderId="1" xfId="0" applyNumberFormat="1" applyFont="1" applyFill="1" applyBorder="1" applyAlignment="1">
      <alignment horizontal="right" wrapText="1"/>
    </xf>
    <xf numFmtId="0" fontId="23" fillId="2" borderId="0" xfId="0" applyFont="1" applyFill="1" applyBorder="1" applyAlignment="1"/>
    <xf numFmtId="0" fontId="5" fillId="2" borderId="0" xfId="0" applyFont="1" applyFill="1" applyBorder="1" applyAlignment="1"/>
    <xf numFmtId="0" fontId="7" fillId="2" borderId="0" xfId="0" applyFont="1" applyFill="1" applyBorder="1" applyAlignment="1">
      <alignment vertical="top"/>
    </xf>
    <xf numFmtId="0" fontId="6" fillId="2" borderId="0" xfId="0" applyFont="1" applyFill="1" applyBorder="1" applyAlignment="1">
      <alignment vertical="top" wrapText="1"/>
    </xf>
    <xf numFmtId="0" fontId="6" fillId="2" borderId="0" xfId="0" applyFont="1" applyFill="1" applyBorder="1" applyAlignment="1">
      <alignment horizontal="center" vertical="top" wrapText="1"/>
    </xf>
    <xf numFmtId="0" fontId="6" fillId="2" borderId="0" xfId="0" applyFont="1" applyFill="1" applyBorder="1" applyAlignment="1">
      <alignment horizontal="left" wrapText="1"/>
    </xf>
    <xf numFmtId="0" fontId="6" fillId="2" borderId="0" xfId="0" applyFont="1" applyFill="1" applyBorder="1" applyAlignment="1">
      <alignment horizontal="center" wrapText="1"/>
    </xf>
    <xf numFmtId="3" fontId="6" fillId="2" borderId="0" xfId="0" applyNumberFormat="1" applyFont="1" applyFill="1" applyBorder="1" applyAlignment="1">
      <alignment horizontal="center" wrapText="1"/>
    </xf>
    <xf numFmtId="165" fontId="6" fillId="2" borderId="0" xfId="0" applyNumberFormat="1" applyFont="1" applyFill="1" applyBorder="1" applyAlignment="1">
      <alignment horizontal="center" wrapText="1"/>
    </xf>
    <xf numFmtId="9" fontId="6" fillId="2" borderId="0" xfId="0" applyNumberFormat="1" applyFont="1" applyFill="1" applyBorder="1" applyAlignment="1">
      <alignment horizontal="center"/>
    </xf>
    <xf numFmtId="0" fontId="6" fillId="2" borderId="1" xfId="0" applyFont="1" applyFill="1" applyBorder="1" applyAlignment="1">
      <alignment horizontal="center"/>
    </xf>
    <xf numFmtId="0" fontId="2" fillId="2" borderId="0" xfId="0" applyFont="1" applyFill="1" applyAlignment="1">
      <alignment vertical="top" wrapText="1"/>
    </xf>
    <xf numFmtId="0" fontId="3" fillId="2" borderId="0" xfId="0" applyFont="1" applyFill="1" applyBorder="1" applyAlignment="1">
      <alignment horizontal="left" wrapText="1"/>
    </xf>
    <xf numFmtId="0" fontId="2" fillId="2" borderId="0" xfId="0" quotePrefix="1" applyFont="1" applyFill="1" applyBorder="1" applyAlignment="1">
      <alignment horizontal="right"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7" fillId="3" borderId="1" xfId="0" applyFont="1" applyFill="1" applyBorder="1" applyAlignment="1">
      <alignment horizontal="left"/>
    </xf>
    <xf numFmtId="0" fontId="7" fillId="3" borderId="0" xfId="0" applyFont="1" applyFill="1" applyBorder="1" applyAlignment="1">
      <alignment horizontal="left"/>
    </xf>
    <xf numFmtId="0" fontId="4" fillId="3" borderId="0" xfId="0" applyFont="1" applyFill="1" applyAlignment="1">
      <alignment horizontal="left" vertical="top" wrapText="1"/>
    </xf>
    <xf numFmtId="0" fontId="2" fillId="3" borderId="0" xfId="0" applyFont="1" applyFill="1" applyAlignment="1">
      <alignment horizontal="left" vertical="top" wrapText="1"/>
    </xf>
    <xf numFmtId="0" fontId="7" fillId="2" borderId="0" xfId="0" applyFont="1" applyFill="1" applyBorder="1" applyAlignment="1" applyProtection="1">
      <alignment horizontal="left" vertical="top" wrapText="1"/>
      <protection locked="0"/>
    </xf>
    <xf numFmtId="0" fontId="17" fillId="2" borderId="0" xfId="0" applyFont="1" applyFill="1" applyAlignment="1">
      <alignment horizontal="left" wrapText="1"/>
    </xf>
    <xf numFmtId="0" fontId="12" fillId="2" borderId="0" xfId="0" applyFont="1" applyFill="1" applyBorder="1" applyAlignment="1"/>
    <xf numFmtId="0" fontId="13" fillId="2" borderId="0" xfId="0" applyFont="1" applyFill="1" applyBorder="1" applyAlignment="1"/>
    <xf numFmtId="0" fontId="5" fillId="2" borderId="0" xfId="0" applyFont="1" applyFill="1" applyBorder="1" applyAlignment="1"/>
    <xf numFmtId="0" fontId="7" fillId="2" borderId="0" xfId="0" applyFont="1" applyFill="1" applyBorder="1" applyAlignment="1" applyProtection="1">
      <alignment horizontal="left"/>
      <protection locked="0"/>
    </xf>
    <xf numFmtId="0" fontId="10" fillId="2" borderId="0" xfId="0" applyFont="1" applyFill="1" applyAlignment="1" applyProtection="1">
      <alignment horizontal="left"/>
      <protection locked="0"/>
    </xf>
    <xf numFmtId="0" fontId="8" fillId="2" borderId="0" xfId="0" applyFont="1" applyFill="1" applyBorder="1" applyAlignment="1" applyProtection="1"/>
    <xf numFmtId="0" fontId="8" fillId="2" borderId="0" xfId="0" applyFont="1" applyFill="1" applyBorder="1" applyAlignment="1"/>
    <xf numFmtId="0" fontId="12" fillId="2" borderId="0" xfId="0" applyFont="1" applyFill="1" applyBorder="1" applyAlignment="1" applyProtection="1"/>
    <xf numFmtId="0" fontId="19" fillId="2" borderId="1" xfId="0" applyFont="1" applyFill="1" applyBorder="1" applyAlignment="1">
      <alignment horizontal="left"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xf>
    <xf numFmtId="0" fontId="23" fillId="2" borderId="0" xfId="0" applyFont="1" applyFill="1" applyAlignment="1">
      <alignment horizontal="left"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17" fillId="2" borderId="0" xfId="0" applyFont="1" applyFill="1" applyBorder="1" applyAlignment="1">
      <alignment horizontal="left" vertical="top" wrapText="1"/>
    </xf>
    <xf numFmtId="0" fontId="25" fillId="2" borderId="0" xfId="0" applyFont="1" applyFill="1" applyBorder="1" applyAlignment="1">
      <alignment horizontal="left" wrapText="1"/>
    </xf>
    <xf numFmtId="0" fontId="5" fillId="2" borderId="2" xfId="0" applyFont="1" applyFill="1" applyBorder="1" applyAlignment="1">
      <alignment vertical="top" wrapText="1"/>
    </xf>
    <xf numFmtId="0" fontId="5" fillId="2" borderId="1" xfId="0" applyFont="1" applyFill="1" applyBorder="1" applyAlignment="1">
      <alignment vertical="top" wrapText="1"/>
    </xf>
    <xf numFmtId="0" fontId="7" fillId="3" borderId="1" xfId="0" applyFont="1" applyFill="1" applyBorder="1" applyAlignment="1">
      <alignment horizontal="left" wrapText="1"/>
    </xf>
    <xf numFmtId="0" fontId="5" fillId="2" borderId="3" xfId="0" applyFont="1" applyFill="1" applyBorder="1" applyAlignment="1">
      <alignment horizont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pplyProtection="1">
      <alignment horizontal="left"/>
      <protection locked="0"/>
    </xf>
    <xf numFmtId="0" fontId="8" fillId="2" borderId="0" xfId="0" applyFont="1" applyFill="1" applyBorder="1" applyAlignment="1" applyProtection="1">
      <protection locked="0"/>
    </xf>
    <xf numFmtId="0" fontId="17" fillId="2" borderId="0" xfId="0" applyFont="1" applyFill="1" applyBorder="1" applyAlignment="1" applyProtection="1">
      <alignment horizontal="left" vertical="top" wrapText="1"/>
      <protection locked="0"/>
    </xf>
    <xf numFmtId="0" fontId="12" fillId="2" borderId="6" xfId="0" applyFont="1" applyFill="1" applyBorder="1" applyAlignment="1">
      <alignment horizontal="center" vertical="center"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1" fillId="2" borderId="1" xfId="0" applyFont="1" applyFill="1" applyBorder="1" applyAlignment="1">
      <alignment horizontal="left" vertical="top" wrapText="1"/>
    </xf>
    <xf numFmtId="0" fontId="31" fillId="2" borderId="9" xfId="0" applyFont="1" applyFill="1" applyBorder="1" applyAlignment="1">
      <alignment horizontal="left" vertical="top" wrapText="1"/>
    </xf>
    <xf numFmtId="0" fontId="8" fillId="2" borderId="2" xfId="0" applyFont="1" applyFill="1" applyBorder="1" applyAlignment="1">
      <alignment horizontal="left" wrapText="1"/>
    </xf>
    <xf numFmtId="0" fontId="12" fillId="2" borderId="4" xfId="0" applyFont="1" applyFill="1" applyBorder="1" applyAlignment="1">
      <alignment horizontal="center" vertical="center" wrapText="1"/>
    </xf>
  </cellXfs>
  <cellStyles count="4">
    <cellStyle name="Currency 2" xfId="2" xr:uid="{00000000-0005-0000-0000-000000000000}"/>
    <cellStyle name="Normal" xfId="0" builtinId="0"/>
    <cellStyle name="Percent" xfId="1" builtinId="5"/>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4"/>
  <sheetViews>
    <sheetView tabSelected="1" workbookViewId="0">
      <selection activeCell="C23" sqref="C23:K24"/>
    </sheetView>
  </sheetViews>
  <sheetFormatPr defaultColWidth="9.109375" defaultRowHeight="13.8" x14ac:dyDescent="0.25"/>
  <cols>
    <col min="1" max="1" width="5.6640625" style="1" customWidth="1"/>
    <col min="2" max="2" width="5.88671875" style="11" customWidth="1"/>
    <col min="3" max="3" width="21" style="1" customWidth="1"/>
    <col min="4" max="10" width="9.88671875" style="1" customWidth="1"/>
    <col min="11" max="11" width="11.88671875" style="1" bestFit="1" customWidth="1"/>
    <col min="12" max="16384" width="9.109375" style="1"/>
  </cols>
  <sheetData>
    <row r="2" spans="2:12" ht="41.25" customHeight="1" x14ac:dyDescent="0.4">
      <c r="B2" s="233" t="s">
        <v>68</v>
      </c>
      <c r="C2" s="233"/>
      <c r="D2" s="233"/>
      <c r="E2" s="233"/>
      <c r="F2" s="233"/>
      <c r="G2" s="233"/>
      <c r="H2" s="233"/>
      <c r="I2" s="233"/>
      <c r="J2" s="233"/>
      <c r="K2" s="233"/>
      <c r="L2" s="233"/>
    </row>
    <row r="3" spans="2:12" x14ac:dyDescent="0.25">
      <c r="B3" s="11" t="s">
        <v>237</v>
      </c>
    </row>
    <row r="5" spans="2:12" s="2" customFormat="1" x14ac:dyDescent="0.25">
      <c r="B5" s="3" t="s">
        <v>145</v>
      </c>
      <c r="C5" s="4"/>
      <c r="D5" s="4"/>
      <c r="E5" s="4"/>
      <c r="F5" s="4"/>
      <c r="G5" s="4"/>
      <c r="H5" s="4"/>
      <c r="I5" s="4"/>
      <c r="J5" s="4"/>
    </row>
    <row r="6" spans="2:12" s="2" customFormat="1" ht="14.25" customHeight="1" x14ac:dyDescent="0.25">
      <c r="B6" s="5" t="s">
        <v>52</v>
      </c>
      <c r="C6" s="239" t="s">
        <v>152</v>
      </c>
      <c r="D6" s="239"/>
      <c r="E6" s="239"/>
      <c r="F6" s="239"/>
      <c r="G6" s="239"/>
      <c r="H6" s="239"/>
      <c r="I6" s="239"/>
      <c r="J6" s="239"/>
      <c r="K6" s="239"/>
    </row>
    <row r="7" spans="2:12" s="2" customFormat="1" ht="15.75" customHeight="1" x14ac:dyDescent="0.25">
      <c r="B7" s="4"/>
      <c r="C7" s="239"/>
      <c r="D7" s="239"/>
      <c r="E7" s="239"/>
      <c r="F7" s="239"/>
      <c r="G7" s="239"/>
      <c r="H7" s="239"/>
      <c r="I7" s="239"/>
      <c r="J7" s="239"/>
      <c r="K7" s="239"/>
    </row>
    <row r="8" spans="2:12" s="2" customFormat="1" ht="49.5" customHeight="1" x14ac:dyDescent="0.25">
      <c r="B8" s="199" t="s">
        <v>53</v>
      </c>
      <c r="C8" s="240" t="s">
        <v>163</v>
      </c>
      <c r="D8" s="240"/>
      <c r="E8" s="240"/>
      <c r="F8" s="240"/>
      <c r="G8" s="240"/>
      <c r="H8" s="240"/>
      <c r="I8" s="240"/>
      <c r="J8" s="240"/>
      <c r="K8" s="240"/>
    </row>
    <row r="9" spans="2:12" s="2" customFormat="1" ht="18" customHeight="1" x14ac:dyDescent="0.25">
      <c r="B9" s="6" t="s">
        <v>54</v>
      </c>
      <c r="C9" s="240" t="s">
        <v>146</v>
      </c>
      <c r="D9" s="240"/>
      <c r="E9" s="240"/>
      <c r="F9" s="240"/>
      <c r="G9" s="240"/>
      <c r="H9" s="240"/>
      <c r="I9" s="240"/>
      <c r="J9" s="240"/>
      <c r="K9" s="240"/>
    </row>
    <row r="10" spans="2:12" s="2" customFormat="1" ht="18" customHeight="1" x14ac:dyDescent="0.25">
      <c r="C10" s="240"/>
      <c r="D10" s="240"/>
      <c r="E10" s="240"/>
      <c r="F10" s="240"/>
      <c r="G10" s="240"/>
      <c r="H10" s="240"/>
      <c r="I10" s="240"/>
      <c r="J10" s="240"/>
      <c r="K10" s="240"/>
    </row>
    <row r="11" spans="2:12" s="2" customFormat="1" ht="18" customHeight="1" x14ac:dyDescent="0.25">
      <c r="C11" s="240"/>
      <c r="D11" s="240"/>
      <c r="E11" s="240"/>
      <c r="F11" s="240"/>
      <c r="G11" s="240"/>
      <c r="H11" s="240"/>
      <c r="I11" s="240"/>
      <c r="J11" s="240"/>
      <c r="K11" s="240"/>
    </row>
    <row r="12" spans="2:12" s="2" customFormat="1" x14ac:dyDescent="0.25">
      <c r="C12" s="7"/>
      <c r="D12" s="7"/>
      <c r="E12" s="7"/>
      <c r="F12" s="7"/>
      <c r="G12" s="7"/>
      <c r="H12" s="7"/>
      <c r="I12" s="7"/>
      <c r="J12" s="7"/>
      <c r="K12" s="7"/>
    </row>
    <row r="13" spans="2:12" x14ac:dyDescent="0.25">
      <c r="B13" s="8" t="s">
        <v>51</v>
      </c>
    </row>
    <row r="14" spans="2:12" ht="18" customHeight="1" x14ac:dyDescent="0.25">
      <c r="B14" s="234" t="s">
        <v>52</v>
      </c>
      <c r="C14" s="235" t="s">
        <v>139</v>
      </c>
      <c r="D14" s="235"/>
      <c r="E14" s="235"/>
      <c r="F14" s="235"/>
      <c r="G14" s="235"/>
      <c r="H14" s="235"/>
      <c r="I14" s="235"/>
      <c r="J14" s="235"/>
      <c r="K14" s="235"/>
      <c r="L14" s="9"/>
    </row>
    <row r="15" spans="2:12" ht="28.2" customHeight="1" x14ac:dyDescent="0.25">
      <c r="B15" s="234"/>
      <c r="C15" s="235"/>
      <c r="D15" s="235"/>
      <c r="E15" s="235"/>
      <c r="F15" s="235"/>
      <c r="G15" s="235"/>
      <c r="H15" s="235"/>
      <c r="I15" s="235"/>
      <c r="J15" s="235"/>
      <c r="K15" s="235"/>
    </row>
    <row r="16" spans="2:12" ht="30" customHeight="1" x14ac:dyDescent="0.25">
      <c r="B16" s="10" t="s">
        <v>53</v>
      </c>
      <c r="C16" s="235" t="s">
        <v>157</v>
      </c>
      <c r="D16" s="235"/>
      <c r="E16" s="235"/>
      <c r="F16" s="235"/>
      <c r="G16" s="235"/>
      <c r="H16" s="235"/>
      <c r="I16" s="235"/>
      <c r="J16" s="235"/>
      <c r="K16" s="235"/>
    </row>
    <row r="17" spans="2:11" s="11" customFormat="1" ht="18" customHeight="1" x14ac:dyDescent="0.3">
      <c r="B17" s="12" t="s">
        <v>54</v>
      </c>
      <c r="C17" s="232" t="s">
        <v>140</v>
      </c>
      <c r="D17" s="232"/>
      <c r="E17" s="232"/>
      <c r="F17" s="232"/>
      <c r="G17" s="232"/>
      <c r="H17" s="232"/>
      <c r="I17" s="232"/>
      <c r="J17" s="232"/>
      <c r="K17" s="232"/>
    </row>
    <row r="18" spans="2:11" ht="33" customHeight="1" x14ac:dyDescent="0.25">
      <c r="B18" s="10" t="s">
        <v>55</v>
      </c>
      <c r="C18" s="236" t="s">
        <v>141</v>
      </c>
      <c r="D18" s="236"/>
      <c r="E18" s="236"/>
      <c r="F18" s="236"/>
      <c r="G18" s="236"/>
      <c r="H18" s="236"/>
      <c r="I18" s="236"/>
      <c r="J18" s="236"/>
      <c r="K18" s="236"/>
    </row>
    <row r="19" spans="2:11" ht="18" customHeight="1" x14ac:dyDescent="0.25">
      <c r="B19" s="10" t="s">
        <v>56</v>
      </c>
      <c r="C19" s="13" t="s">
        <v>142</v>
      </c>
      <c r="D19" s="13"/>
      <c r="E19" s="14"/>
      <c r="F19" s="14"/>
      <c r="G19" s="14"/>
      <c r="H19" s="14"/>
      <c r="I19" s="14"/>
      <c r="J19" s="14"/>
      <c r="K19" s="14"/>
    </row>
    <row r="20" spans="2:11" ht="31.5" customHeight="1" x14ac:dyDescent="0.25">
      <c r="B20" s="12" t="s">
        <v>57</v>
      </c>
      <c r="C20" s="236" t="s">
        <v>143</v>
      </c>
      <c r="D20" s="236"/>
      <c r="E20" s="236"/>
      <c r="F20" s="236"/>
      <c r="G20" s="236"/>
      <c r="H20" s="236"/>
      <c r="I20" s="236"/>
      <c r="J20" s="236"/>
      <c r="K20" s="236"/>
    </row>
    <row r="21" spans="2:11" ht="18" customHeight="1" x14ac:dyDescent="0.25">
      <c r="B21" s="10" t="s">
        <v>58</v>
      </c>
      <c r="C21" s="236" t="s">
        <v>144</v>
      </c>
      <c r="D21" s="236"/>
      <c r="E21" s="236"/>
      <c r="F21" s="236"/>
      <c r="G21" s="236"/>
      <c r="H21" s="236"/>
      <c r="I21" s="236"/>
      <c r="J21" s="236"/>
      <c r="K21" s="236"/>
    </row>
    <row r="22" spans="2:11" ht="50.25" customHeight="1" x14ac:dyDescent="0.25">
      <c r="B22" s="12" t="s">
        <v>59</v>
      </c>
      <c r="C22" s="236" t="s">
        <v>158</v>
      </c>
      <c r="D22" s="236"/>
      <c r="E22" s="236"/>
      <c r="F22" s="236"/>
      <c r="G22" s="236"/>
      <c r="H22" s="236"/>
      <c r="I22" s="236"/>
      <c r="J22" s="236"/>
      <c r="K22" s="236"/>
    </row>
    <row r="23" spans="2:11" ht="18" customHeight="1" x14ac:dyDescent="0.25">
      <c r="B23" s="12" t="s">
        <v>67</v>
      </c>
      <c r="C23" s="232" t="s">
        <v>60</v>
      </c>
      <c r="D23" s="232"/>
      <c r="E23" s="232"/>
      <c r="F23" s="232"/>
      <c r="G23" s="232"/>
      <c r="H23" s="232"/>
      <c r="I23" s="232"/>
      <c r="J23" s="232"/>
      <c r="K23" s="232"/>
    </row>
    <row r="24" spans="2:11" x14ac:dyDescent="0.25">
      <c r="B24" s="1"/>
      <c r="C24" s="232"/>
      <c r="D24" s="232"/>
      <c r="E24" s="232"/>
      <c r="F24" s="232"/>
      <c r="G24" s="232"/>
      <c r="H24" s="232"/>
      <c r="I24" s="232"/>
      <c r="J24" s="232"/>
      <c r="K24" s="232"/>
    </row>
    <row r="25" spans="2:11" ht="17.399999999999999" x14ac:dyDescent="0.3">
      <c r="C25" s="237" t="s">
        <v>61</v>
      </c>
      <c r="D25" s="237"/>
      <c r="E25" s="237"/>
      <c r="F25" s="238"/>
      <c r="G25" s="238"/>
      <c r="H25" s="238"/>
      <c r="I25" s="238"/>
      <c r="J25" s="238"/>
    </row>
    <row r="26" spans="2:11" x14ac:dyDescent="0.25">
      <c r="C26" s="1" t="s">
        <v>201</v>
      </c>
      <c r="D26" s="18" t="s">
        <v>62</v>
      </c>
      <c r="E26" s="15"/>
      <c r="F26" s="15"/>
      <c r="G26" s="15"/>
      <c r="H26" s="15"/>
      <c r="I26" s="15"/>
      <c r="J26" s="15"/>
    </row>
    <row r="27" spans="2:11" x14ac:dyDescent="0.25">
      <c r="C27" s="1" t="s">
        <v>202</v>
      </c>
      <c r="D27" s="18" t="s">
        <v>63</v>
      </c>
      <c r="E27" s="15"/>
      <c r="F27" s="15"/>
      <c r="G27" s="15"/>
      <c r="H27" s="15"/>
      <c r="I27" s="15"/>
      <c r="J27" s="15"/>
    </row>
    <row r="28" spans="2:11" x14ac:dyDescent="0.25">
      <c r="C28" s="1" t="s">
        <v>203</v>
      </c>
      <c r="D28" s="18" t="s">
        <v>64</v>
      </c>
      <c r="F28" s="16"/>
      <c r="G28" s="16"/>
      <c r="H28" s="16"/>
      <c r="I28" s="16"/>
      <c r="J28" s="16"/>
    </row>
    <row r="29" spans="2:11" x14ac:dyDescent="0.25">
      <c r="C29" s="1" t="s">
        <v>204</v>
      </c>
      <c r="D29" s="18" t="s">
        <v>65</v>
      </c>
      <c r="F29" s="16"/>
      <c r="G29" s="16"/>
      <c r="H29" s="16"/>
      <c r="I29" s="16"/>
      <c r="J29" s="16"/>
    </row>
    <row r="30" spans="2:11" x14ac:dyDescent="0.25">
      <c r="C30" s="17" t="s">
        <v>205</v>
      </c>
      <c r="D30" s="19" t="s">
        <v>66</v>
      </c>
      <c r="E30" s="17"/>
      <c r="F30" s="16"/>
      <c r="G30" s="16"/>
      <c r="H30" s="16"/>
      <c r="I30" s="16"/>
      <c r="J30" s="16"/>
    </row>
    <row r="32" spans="2:11" x14ac:dyDescent="0.25">
      <c r="B32" s="12"/>
      <c r="C32" s="232"/>
      <c r="D32" s="232"/>
      <c r="E32" s="232"/>
      <c r="F32" s="232"/>
      <c r="G32" s="232"/>
      <c r="H32" s="232"/>
      <c r="I32" s="232"/>
      <c r="J32" s="232"/>
      <c r="K32" s="232"/>
    </row>
    <row r="33" spans="2:11" x14ac:dyDescent="0.25">
      <c r="B33" s="1"/>
      <c r="C33" s="232"/>
      <c r="D33" s="232"/>
      <c r="E33" s="232"/>
      <c r="F33" s="232"/>
      <c r="G33" s="232"/>
      <c r="H33" s="232"/>
      <c r="I33" s="232"/>
      <c r="J33" s="232"/>
      <c r="K33" s="232"/>
    </row>
    <row r="34" spans="2:11" x14ac:dyDescent="0.25">
      <c r="B34" s="10"/>
      <c r="C34" s="232"/>
      <c r="D34" s="232"/>
      <c r="E34" s="232"/>
      <c r="F34" s="232"/>
      <c r="G34" s="232"/>
      <c r="H34" s="232"/>
      <c r="I34" s="232"/>
      <c r="J34" s="232"/>
      <c r="K34" s="232"/>
    </row>
  </sheetData>
  <customSheetViews>
    <customSheetView guid="{76B766A5-443C-4C54-86C8-F5C661F06BFC}" topLeftCell="A16">
      <selection activeCell="C25" sqref="C25:E29"/>
      <pageMargins left="0.7" right="0.7" top="0.75" bottom="0.75" header="0.3" footer="0.3"/>
      <pageSetup orientation="portrait" horizontalDpi="1200" verticalDpi="1200" r:id="rId1"/>
    </customSheetView>
    <customSheetView guid="{4DF746F6-C3F2-4BEF-B84D-60D120277636}" topLeftCell="A16">
      <selection activeCell="C29" sqref="C29"/>
      <pageMargins left="0.7" right="0.7" top="0.75" bottom="0.75" header="0.3" footer="0.3"/>
      <pageSetup orientation="portrait" horizontalDpi="1200" verticalDpi="1200" r:id="rId2"/>
    </customSheetView>
  </customSheetViews>
  <mergeCells count="15">
    <mergeCell ref="C32:K34"/>
    <mergeCell ref="B2:L2"/>
    <mergeCell ref="B14:B15"/>
    <mergeCell ref="C14:K15"/>
    <mergeCell ref="C17:K17"/>
    <mergeCell ref="C18:K18"/>
    <mergeCell ref="C20:K20"/>
    <mergeCell ref="C21:K21"/>
    <mergeCell ref="C22:K22"/>
    <mergeCell ref="C23:K24"/>
    <mergeCell ref="C25:J25"/>
    <mergeCell ref="C16:K16"/>
    <mergeCell ref="C6:K7"/>
    <mergeCell ref="C9:K11"/>
    <mergeCell ref="C8:K8"/>
  </mergeCells>
  <pageMargins left="0.7" right="0.7" top="0.75" bottom="0.75" header="0.3" footer="0.3"/>
  <pageSetup orientation="portrait" horizontalDpi="1200" verticalDpi="1200" r:id="rId3"/>
  <ignoredErrors>
    <ignoredError sqref="B14:B31 B9 B6: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workbookViewId="0">
      <selection activeCell="H22" sqref="H22"/>
    </sheetView>
  </sheetViews>
  <sheetFormatPr defaultRowHeight="13.8" x14ac:dyDescent="0.25"/>
  <cols>
    <col min="1" max="1" width="9.109375" style="21"/>
    <col min="2" max="2" width="27.88671875" style="21" customWidth="1"/>
    <col min="3" max="3" width="10.33203125" style="21" customWidth="1"/>
    <col min="4" max="4" width="33.88671875" style="21" customWidth="1"/>
    <col min="5" max="5" width="2.88671875" style="21" customWidth="1"/>
    <col min="6" max="6" width="19.33203125" style="21" customWidth="1"/>
    <col min="7" max="246" width="9.109375" style="21"/>
    <col min="247" max="247" width="24.44140625" style="21" customWidth="1"/>
    <col min="248" max="248" width="8.44140625" style="21" customWidth="1"/>
    <col min="249" max="249" width="3.109375" style="21" customWidth="1"/>
    <col min="250" max="250" width="43.88671875" style="21" customWidth="1"/>
    <col min="251" max="251" width="5" style="21" customWidth="1"/>
    <col min="252" max="252" width="11.5546875" style="21" customWidth="1"/>
    <col min="253" max="253" width="3.33203125" style="21" customWidth="1"/>
    <col min="254" max="502" width="9.109375" style="21"/>
    <col min="503" max="503" width="24.44140625" style="21" customWidth="1"/>
    <col min="504" max="504" width="8.44140625" style="21" customWidth="1"/>
    <col min="505" max="505" width="3.109375" style="21" customWidth="1"/>
    <col min="506" max="506" width="43.88671875" style="21" customWidth="1"/>
    <col min="507" max="507" width="5" style="21" customWidth="1"/>
    <col min="508" max="508" width="11.5546875" style="21" customWidth="1"/>
    <col min="509" max="509" width="3.33203125" style="21" customWidth="1"/>
    <col min="510" max="758" width="9.109375" style="21"/>
    <col min="759" max="759" width="24.44140625" style="21" customWidth="1"/>
    <col min="760" max="760" width="8.44140625" style="21" customWidth="1"/>
    <col min="761" max="761" width="3.109375" style="21" customWidth="1"/>
    <col min="762" max="762" width="43.88671875" style="21" customWidth="1"/>
    <col min="763" max="763" width="5" style="21" customWidth="1"/>
    <col min="764" max="764" width="11.5546875" style="21" customWidth="1"/>
    <col min="765" max="765" width="3.33203125" style="21" customWidth="1"/>
    <col min="766" max="1014" width="9.109375" style="21"/>
    <col min="1015" max="1015" width="24.44140625" style="21" customWidth="1"/>
    <col min="1016" max="1016" width="8.44140625" style="21" customWidth="1"/>
    <col min="1017" max="1017" width="3.109375" style="21" customWidth="1"/>
    <col min="1018" max="1018" width="43.88671875" style="21" customWidth="1"/>
    <col min="1019" max="1019" width="5" style="21" customWidth="1"/>
    <col min="1020" max="1020" width="11.5546875" style="21" customWidth="1"/>
    <col min="1021" max="1021" width="3.33203125" style="21" customWidth="1"/>
    <col min="1022" max="1270" width="9.109375" style="21"/>
    <col min="1271" max="1271" width="24.44140625" style="21" customWidth="1"/>
    <col min="1272" max="1272" width="8.44140625" style="21" customWidth="1"/>
    <col min="1273" max="1273" width="3.109375" style="21" customWidth="1"/>
    <col min="1274" max="1274" width="43.88671875" style="21" customWidth="1"/>
    <col min="1275" max="1275" width="5" style="21" customWidth="1"/>
    <col min="1276" max="1276" width="11.5546875" style="21" customWidth="1"/>
    <col min="1277" max="1277" width="3.33203125" style="21" customWidth="1"/>
    <col min="1278" max="1526" width="9.109375" style="21"/>
    <col min="1527" max="1527" width="24.44140625" style="21" customWidth="1"/>
    <col min="1528" max="1528" width="8.44140625" style="21" customWidth="1"/>
    <col min="1529" max="1529" width="3.109375" style="21" customWidth="1"/>
    <col min="1530" max="1530" width="43.88671875" style="21" customWidth="1"/>
    <col min="1531" max="1531" width="5" style="21" customWidth="1"/>
    <col min="1532" max="1532" width="11.5546875" style="21" customWidth="1"/>
    <col min="1533" max="1533" width="3.33203125" style="21" customWidth="1"/>
    <col min="1534" max="1782" width="9.109375" style="21"/>
    <col min="1783" max="1783" width="24.44140625" style="21" customWidth="1"/>
    <col min="1784" max="1784" width="8.44140625" style="21" customWidth="1"/>
    <col min="1785" max="1785" width="3.109375" style="21" customWidth="1"/>
    <col min="1786" max="1786" width="43.88671875" style="21" customWidth="1"/>
    <col min="1787" max="1787" width="5" style="21" customWidth="1"/>
    <col min="1788" max="1788" width="11.5546875" style="21" customWidth="1"/>
    <col min="1789" max="1789" width="3.33203125" style="21" customWidth="1"/>
    <col min="1790" max="2038" width="9.109375" style="21"/>
    <col min="2039" max="2039" width="24.44140625" style="21" customWidth="1"/>
    <col min="2040" max="2040" width="8.44140625" style="21" customWidth="1"/>
    <col min="2041" max="2041" width="3.109375" style="21" customWidth="1"/>
    <col min="2042" max="2042" width="43.88671875" style="21" customWidth="1"/>
    <col min="2043" max="2043" width="5" style="21" customWidth="1"/>
    <col min="2044" max="2044" width="11.5546875" style="21" customWidth="1"/>
    <col min="2045" max="2045" width="3.33203125" style="21" customWidth="1"/>
    <col min="2046" max="2294" width="9.109375" style="21"/>
    <col min="2295" max="2295" width="24.44140625" style="21" customWidth="1"/>
    <col min="2296" max="2296" width="8.44140625" style="21" customWidth="1"/>
    <col min="2297" max="2297" width="3.109375" style="21" customWidth="1"/>
    <col min="2298" max="2298" width="43.88671875" style="21" customWidth="1"/>
    <col min="2299" max="2299" width="5" style="21" customWidth="1"/>
    <col min="2300" max="2300" width="11.5546875" style="21" customWidth="1"/>
    <col min="2301" max="2301" width="3.33203125" style="21" customWidth="1"/>
    <col min="2302" max="2550" width="9.109375" style="21"/>
    <col min="2551" max="2551" width="24.44140625" style="21" customWidth="1"/>
    <col min="2552" max="2552" width="8.44140625" style="21" customWidth="1"/>
    <col min="2553" max="2553" width="3.109375" style="21" customWidth="1"/>
    <col min="2554" max="2554" width="43.88671875" style="21" customWidth="1"/>
    <col min="2555" max="2555" width="5" style="21" customWidth="1"/>
    <col min="2556" max="2556" width="11.5546875" style="21" customWidth="1"/>
    <col min="2557" max="2557" width="3.33203125" style="21" customWidth="1"/>
    <col min="2558" max="2806" width="9.109375" style="21"/>
    <col min="2807" max="2807" width="24.44140625" style="21" customWidth="1"/>
    <col min="2808" max="2808" width="8.44140625" style="21" customWidth="1"/>
    <col min="2809" max="2809" width="3.109375" style="21" customWidth="1"/>
    <col min="2810" max="2810" width="43.88671875" style="21" customWidth="1"/>
    <col min="2811" max="2811" width="5" style="21" customWidth="1"/>
    <col min="2812" max="2812" width="11.5546875" style="21" customWidth="1"/>
    <col min="2813" max="2813" width="3.33203125" style="21" customWidth="1"/>
    <col min="2814" max="3062" width="9.109375" style="21"/>
    <col min="3063" max="3063" width="24.44140625" style="21" customWidth="1"/>
    <col min="3064" max="3064" width="8.44140625" style="21" customWidth="1"/>
    <col min="3065" max="3065" width="3.109375" style="21" customWidth="1"/>
    <col min="3066" max="3066" width="43.88671875" style="21" customWidth="1"/>
    <col min="3067" max="3067" width="5" style="21" customWidth="1"/>
    <col min="3068" max="3068" width="11.5546875" style="21" customWidth="1"/>
    <col min="3069" max="3069" width="3.33203125" style="21" customWidth="1"/>
    <col min="3070" max="3318" width="9.109375" style="21"/>
    <col min="3319" max="3319" width="24.44140625" style="21" customWidth="1"/>
    <col min="3320" max="3320" width="8.44140625" style="21" customWidth="1"/>
    <col min="3321" max="3321" width="3.109375" style="21" customWidth="1"/>
    <col min="3322" max="3322" width="43.88671875" style="21" customWidth="1"/>
    <col min="3323" max="3323" width="5" style="21" customWidth="1"/>
    <col min="3324" max="3324" width="11.5546875" style="21" customWidth="1"/>
    <col min="3325" max="3325" width="3.33203125" style="21" customWidth="1"/>
    <col min="3326" max="3574" width="9.109375" style="21"/>
    <col min="3575" max="3575" width="24.44140625" style="21" customWidth="1"/>
    <col min="3576" max="3576" width="8.44140625" style="21" customWidth="1"/>
    <col min="3577" max="3577" width="3.109375" style="21" customWidth="1"/>
    <col min="3578" max="3578" width="43.88671875" style="21" customWidth="1"/>
    <col min="3579" max="3579" width="5" style="21" customWidth="1"/>
    <col min="3580" max="3580" width="11.5546875" style="21" customWidth="1"/>
    <col min="3581" max="3581" width="3.33203125" style="21" customWidth="1"/>
    <col min="3582" max="3830" width="9.109375" style="21"/>
    <col min="3831" max="3831" width="24.44140625" style="21" customWidth="1"/>
    <col min="3832" max="3832" width="8.44140625" style="21" customWidth="1"/>
    <col min="3833" max="3833" width="3.109375" style="21" customWidth="1"/>
    <col min="3834" max="3834" width="43.88671875" style="21" customWidth="1"/>
    <col min="3835" max="3835" width="5" style="21" customWidth="1"/>
    <col min="3836" max="3836" width="11.5546875" style="21" customWidth="1"/>
    <col min="3837" max="3837" width="3.33203125" style="21" customWidth="1"/>
    <col min="3838" max="4086" width="9.109375" style="21"/>
    <col min="4087" max="4087" width="24.44140625" style="21" customWidth="1"/>
    <col min="4088" max="4088" width="8.44140625" style="21" customWidth="1"/>
    <col min="4089" max="4089" width="3.109375" style="21" customWidth="1"/>
    <col min="4090" max="4090" width="43.88671875" style="21" customWidth="1"/>
    <col min="4091" max="4091" width="5" style="21" customWidth="1"/>
    <col min="4092" max="4092" width="11.5546875" style="21" customWidth="1"/>
    <col min="4093" max="4093" width="3.33203125" style="21" customWidth="1"/>
    <col min="4094" max="4342" width="9.109375" style="21"/>
    <col min="4343" max="4343" width="24.44140625" style="21" customWidth="1"/>
    <col min="4344" max="4344" width="8.44140625" style="21" customWidth="1"/>
    <col min="4345" max="4345" width="3.109375" style="21" customWidth="1"/>
    <col min="4346" max="4346" width="43.88671875" style="21" customWidth="1"/>
    <col min="4347" max="4347" width="5" style="21" customWidth="1"/>
    <col min="4348" max="4348" width="11.5546875" style="21" customWidth="1"/>
    <col min="4349" max="4349" width="3.33203125" style="21" customWidth="1"/>
    <col min="4350" max="4598" width="9.109375" style="21"/>
    <col min="4599" max="4599" width="24.44140625" style="21" customWidth="1"/>
    <col min="4600" max="4600" width="8.44140625" style="21" customWidth="1"/>
    <col min="4601" max="4601" width="3.109375" style="21" customWidth="1"/>
    <col min="4602" max="4602" width="43.88671875" style="21" customWidth="1"/>
    <col min="4603" max="4603" width="5" style="21" customWidth="1"/>
    <col min="4604" max="4604" width="11.5546875" style="21" customWidth="1"/>
    <col min="4605" max="4605" width="3.33203125" style="21" customWidth="1"/>
    <col min="4606" max="4854" width="9.109375" style="21"/>
    <col min="4855" max="4855" width="24.44140625" style="21" customWidth="1"/>
    <col min="4856" max="4856" width="8.44140625" style="21" customWidth="1"/>
    <col min="4857" max="4857" width="3.109375" style="21" customWidth="1"/>
    <col min="4858" max="4858" width="43.88671875" style="21" customWidth="1"/>
    <col min="4859" max="4859" width="5" style="21" customWidth="1"/>
    <col min="4860" max="4860" width="11.5546875" style="21" customWidth="1"/>
    <col min="4861" max="4861" width="3.33203125" style="21" customWidth="1"/>
    <col min="4862" max="5110" width="9.109375" style="21"/>
    <col min="5111" max="5111" width="24.44140625" style="21" customWidth="1"/>
    <col min="5112" max="5112" width="8.44140625" style="21" customWidth="1"/>
    <col min="5113" max="5113" width="3.109375" style="21" customWidth="1"/>
    <col min="5114" max="5114" width="43.88671875" style="21" customWidth="1"/>
    <col min="5115" max="5115" width="5" style="21" customWidth="1"/>
    <col min="5116" max="5116" width="11.5546875" style="21" customWidth="1"/>
    <col min="5117" max="5117" width="3.33203125" style="21" customWidth="1"/>
    <col min="5118" max="5366" width="9.109375" style="21"/>
    <col min="5367" max="5367" width="24.44140625" style="21" customWidth="1"/>
    <col min="5368" max="5368" width="8.44140625" style="21" customWidth="1"/>
    <col min="5369" max="5369" width="3.109375" style="21" customWidth="1"/>
    <col min="5370" max="5370" width="43.88671875" style="21" customWidth="1"/>
    <col min="5371" max="5371" width="5" style="21" customWidth="1"/>
    <col min="5372" max="5372" width="11.5546875" style="21" customWidth="1"/>
    <col min="5373" max="5373" width="3.33203125" style="21" customWidth="1"/>
    <col min="5374" max="5622" width="9.109375" style="21"/>
    <col min="5623" max="5623" width="24.44140625" style="21" customWidth="1"/>
    <col min="5624" max="5624" width="8.44140625" style="21" customWidth="1"/>
    <col min="5625" max="5625" width="3.109375" style="21" customWidth="1"/>
    <col min="5626" max="5626" width="43.88671875" style="21" customWidth="1"/>
    <col min="5627" max="5627" width="5" style="21" customWidth="1"/>
    <col min="5628" max="5628" width="11.5546875" style="21" customWidth="1"/>
    <col min="5629" max="5629" width="3.33203125" style="21" customWidth="1"/>
    <col min="5630" max="5878" width="9.109375" style="21"/>
    <col min="5879" max="5879" width="24.44140625" style="21" customWidth="1"/>
    <col min="5880" max="5880" width="8.44140625" style="21" customWidth="1"/>
    <col min="5881" max="5881" width="3.109375" style="21" customWidth="1"/>
    <col min="5882" max="5882" width="43.88671875" style="21" customWidth="1"/>
    <col min="5883" max="5883" width="5" style="21" customWidth="1"/>
    <col min="5884" max="5884" width="11.5546875" style="21" customWidth="1"/>
    <col min="5885" max="5885" width="3.33203125" style="21" customWidth="1"/>
    <col min="5886" max="6134" width="9.109375" style="21"/>
    <col min="6135" max="6135" width="24.44140625" style="21" customWidth="1"/>
    <col min="6136" max="6136" width="8.44140625" style="21" customWidth="1"/>
    <col min="6137" max="6137" width="3.109375" style="21" customWidth="1"/>
    <col min="6138" max="6138" width="43.88671875" style="21" customWidth="1"/>
    <col min="6139" max="6139" width="5" style="21" customWidth="1"/>
    <col min="6140" max="6140" width="11.5546875" style="21" customWidth="1"/>
    <col min="6141" max="6141" width="3.33203125" style="21" customWidth="1"/>
    <col min="6142" max="6390" width="9.109375" style="21"/>
    <col min="6391" max="6391" width="24.44140625" style="21" customWidth="1"/>
    <col min="6392" max="6392" width="8.44140625" style="21" customWidth="1"/>
    <col min="6393" max="6393" width="3.109375" style="21" customWidth="1"/>
    <col min="6394" max="6394" width="43.88671875" style="21" customWidth="1"/>
    <col min="6395" max="6395" width="5" style="21" customWidth="1"/>
    <col min="6396" max="6396" width="11.5546875" style="21" customWidth="1"/>
    <col min="6397" max="6397" width="3.33203125" style="21" customWidth="1"/>
    <col min="6398" max="6646" width="9.109375" style="21"/>
    <col min="6647" max="6647" width="24.44140625" style="21" customWidth="1"/>
    <col min="6648" max="6648" width="8.44140625" style="21" customWidth="1"/>
    <col min="6649" max="6649" width="3.109375" style="21" customWidth="1"/>
    <col min="6650" max="6650" width="43.88671875" style="21" customWidth="1"/>
    <col min="6651" max="6651" width="5" style="21" customWidth="1"/>
    <col min="6652" max="6652" width="11.5546875" style="21" customWidth="1"/>
    <col min="6653" max="6653" width="3.33203125" style="21" customWidth="1"/>
    <col min="6654" max="6902" width="9.109375" style="21"/>
    <col min="6903" max="6903" width="24.44140625" style="21" customWidth="1"/>
    <col min="6904" max="6904" width="8.44140625" style="21" customWidth="1"/>
    <col min="6905" max="6905" width="3.109375" style="21" customWidth="1"/>
    <col min="6906" max="6906" width="43.88671875" style="21" customWidth="1"/>
    <col min="6907" max="6907" width="5" style="21" customWidth="1"/>
    <col min="6908" max="6908" width="11.5546875" style="21" customWidth="1"/>
    <col min="6909" max="6909" width="3.33203125" style="21" customWidth="1"/>
    <col min="6910" max="7158" width="9.109375" style="21"/>
    <col min="7159" max="7159" width="24.44140625" style="21" customWidth="1"/>
    <col min="7160" max="7160" width="8.44140625" style="21" customWidth="1"/>
    <col min="7161" max="7161" width="3.109375" style="21" customWidth="1"/>
    <col min="7162" max="7162" width="43.88671875" style="21" customWidth="1"/>
    <col min="7163" max="7163" width="5" style="21" customWidth="1"/>
    <col min="7164" max="7164" width="11.5546875" style="21" customWidth="1"/>
    <col min="7165" max="7165" width="3.33203125" style="21" customWidth="1"/>
    <col min="7166" max="7414" width="9.109375" style="21"/>
    <col min="7415" max="7415" width="24.44140625" style="21" customWidth="1"/>
    <col min="7416" max="7416" width="8.44140625" style="21" customWidth="1"/>
    <col min="7417" max="7417" width="3.109375" style="21" customWidth="1"/>
    <col min="7418" max="7418" width="43.88671875" style="21" customWidth="1"/>
    <col min="7419" max="7419" width="5" style="21" customWidth="1"/>
    <col min="7420" max="7420" width="11.5546875" style="21" customWidth="1"/>
    <col min="7421" max="7421" width="3.33203125" style="21" customWidth="1"/>
    <col min="7422" max="7670" width="9.109375" style="21"/>
    <col min="7671" max="7671" width="24.44140625" style="21" customWidth="1"/>
    <col min="7672" max="7672" width="8.44140625" style="21" customWidth="1"/>
    <col min="7673" max="7673" width="3.109375" style="21" customWidth="1"/>
    <col min="7674" max="7674" width="43.88671875" style="21" customWidth="1"/>
    <col min="7675" max="7675" width="5" style="21" customWidth="1"/>
    <col min="7676" max="7676" width="11.5546875" style="21" customWidth="1"/>
    <col min="7677" max="7677" width="3.33203125" style="21" customWidth="1"/>
    <col min="7678" max="7926" width="9.109375" style="21"/>
    <col min="7927" max="7927" width="24.44140625" style="21" customWidth="1"/>
    <col min="7928" max="7928" width="8.44140625" style="21" customWidth="1"/>
    <col min="7929" max="7929" width="3.109375" style="21" customWidth="1"/>
    <col min="7930" max="7930" width="43.88671875" style="21" customWidth="1"/>
    <col min="7931" max="7931" width="5" style="21" customWidth="1"/>
    <col min="7932" max="7932" width="11.5546875" style="21" customWidth="1"/>
    <col min="7933" max="7933" width="3.33203125" style="21" customWidth="1"/>
    <col min="7934" max="8182" width="9.109375" style="21"/>
    <col min="8183" max="8183" width="24.44140625" style="21" customWidth="1"/>
    <col min="8184" max="8184" width="8.44140625" style="21" customWidth="1"/>
    <col min="8185" max="8185" width="3.109375" style="21" customWidth="1"/>
    <col min="8186" max="8186" width="43.88671875" style="21" customWidth="1"/>
    <col min="8187" max="8187" width="5" style="21" customWidth="1"/>
    <col min="8188" max="8188" width="11.5546875" style="21" customWidth="1"/>
    <col min="8189" max="8189" width="3.33203125" style="21" customWidth="1"/>
    <col min="8190" max="8438" width="9.109375" style="21"/>
    <col min="8439" max="8439" width="24.44140625" style="21" customWidth="1"/>
    <col min="8440" max="8440" width="8.44140625" style="21" customWidth="1"/>
    <col min="8441" max="8441" width="3.109375" style="21" customWidth="1"/>
    <col min="8442" max="8442" width="43.88671875" style="21" customWidth="1"/>
    <col min="8443" max="8443" width="5" style="21" customWidth="1"/>
    <col min="8444" max="8444" width="11.5546875" style="21" customWidth="1"/>
    <col min="8445" max="8445" width="3.33203125" style="21" customWidth="1"/>
    <col min="8446" max="8694" width="9.109375" style="21"/>
    <col min="8695" max="8695" width="24.44140625" style="21" customWidth="1"/>
    <col min="8696" max="8696" width="8.44140625" style="21" customWidth="1"/>
    <col min="8697" max="8697" width="3.109375" style="21" customWidth="1"/>
    <col min="8698" max="8698" width="43.88671875" style="21" customWidth="1"/>
    <col min="8699" max="8699" width="5" style="21" customWidth="1"/>
    <col min="8700" max="8700" width="11.5546875" style="21" customWidth="1"/>
    <col min="8701" max="8701" width="3.33203125" style="21" customWidth="1"/>
    <col min="8702" max="8950" width="9.109375" style="21"/>
    <col min="8951" max="8951" width="24.44140625" style="21" customWidth="1"/>
    <col min="8952" max="8952" width="8.44140625" style="21" customWidth="1"/>
    <col min="8953" max="8953" width="3.109375" style="21" customWidth="1"/>
    <col min="8954" max="8954" width="43.88671875" style="21" customWidth="1"/>
    <col min="8955" max="8955" width="5" style="21" customWidth="1"/>
    <col min="8956" max="8956" width="11.5546875" style="21" customWidth="1"/>
    <col min="8957" max="8957" width="3.33203125" style="21" customWidth="1"/>
    <col min="8958" max="9206" width="9.109375" style="21"/>
    <col min="9207" max="9207" width="24.44140625" style="21" customWidth="1"/>
    <col min="9208" max="9208" width="8.44140625" style="21" customWidth="1"/>
    <col min="9209" max="9209" width="3.109375" style="21" customWidth="1"/>
    <col min="9210" max="9210" width="43.88671875" style="21" customWidth="1"/>
    <col min="9211" max="9211" width="5" style="21" customWidth="1"/>
    <col min="9212" max="9212" width="11.5546875" style="21" customWidth="1"/>
    <col min="9213" max="9213" width="3.33203125" style="21" customWidth="1"/>
    <col min="9214" max="9462" width="9.109375" style="21"/>
    <col min="9463" max="9463" width="24.44140625" style="21" customWidth="1"/>
    <col min="9464" max="9464" width="8.44140625" style="21" customWidth="1"/>
    <col min="9465" max="9465" width="3.109375" style="21" customWidth="1"/>
    <col min="9466" max="9466" width="43.88671875" style="21" customWidth="1"/>
    <col min="9467" max="9467" width="5" style="21" customWidth="1"/>
    <col min="9468" max="9468" width="11.5546875" style="21" customWidth="1"/>
    <col min="9469" max="9469" width="3.33203125" style="21" customWidth="1"/>
    <col min="9470" max="9718" width="9.109375" style="21"/>
    <col min="9719" max="9719" width="24.44140625" style="21" customWidth="1"/>
    <col min="9720" max="9720" width="8.44140625" style="21" customWidth="1"/>
    <col min="9721" max="9721" width="3.109375" style="21" customWidth="1"/>
    <col min="9722" max="9722" width="43.88671875" style="21" customWidth="1"/>
    <col min="9723" max="9723" width="5" style="21" customWidth="1"/>
    <col min="9724" max="9724" width="11.5546875" style="21" customWidth="1"/>
    <col min="9725" max="9725" width="3.33203125" style="21" customWidth="1"/>
    <col min="9726" max="9974" width="9.109375" style="21"/>
    <col min="9975" max="9975" width="24.44140625" style="21" customWidth="1"/>
    <col min="9976" max="9976" width="8.44140625" style="21" customWidth="1"/>
    <col min="9977" max="9977" width="3.109375" style="21" customWidth="1"/>
    <col min="9978" max="9978" width="43.88671875" style="21" customWidth="1"/>
    <col min="9979" max="9979" width="5" style="21" customWidth="1"/>
    <col min="9980" max="9980" width="11.5546875" style="21" customWidth="1"/>
    <col min="9981" max="9981" width="3.33203125" style="21" customWidth="1"/>
    <col min="9982" max="10230" width="9.109375" style="21"/>
    <col min="10231" max="10231" width="24.44140625" style="21" customWidth="1"/>
    <col min="10232" max="10232" width="8.44140625" style="21" customWidth="1"/>
    <col min="10233" max="10233" width="3.109375" style="21" customWidth="1"/>
    <col min="10234" max="10234" width="43.88671875" style="21" customWidth="1"/>
    <col min="10235" max="10235" width="5" style="21" customWidth="1"/>
    <col min="10236" max="10236" width="11.5546875" style="21" customWidth="1"/>
    <col min="10237" max="10237" width="3.33203125" style="21" customWidth="1"/>
    <col min="10238" max="10486" width="9.109375" style="21"/>
    <col min="10487" max="10487" width="24.44140625" style="21" customWidth="1"/>
    <col min="10488" max="10488" width="8.44140625" style="21" customWidth="1"/>
    <col min="10489" max="10489" width="3.109375" style="21" customWidth="1"/>
    <col min="10490" max="10490" width="43.88671875" style="21" customWidth="1"/>
    <col min="10491" max="10491" width="5" style="21" customWidth="1"/>
    <col min="10492" max="10492" width="11.5546875" style="21" customWidth="1"/>
    <col min="10493" max="10493" width="3.33203125" style="21" customWidth="1"/>
    <col min="10494" max="10742" width="9.109375" style="21"/>
    <col min="10743" max="10743" width="24.44140625" style="21" customWidth="1"/>
    <col min="10744" max="10744" width="8.44140625" style="21" customWidth="1"/>
    <col min="10745" max="10745" width="3.109375" style="21" customWidth="1"/>
    <col min="10746" max="10746" width="43.88671875" style="21" customWidth="1"/>
    <col min="10747" max="10747" width="5" style="21" customWidth="1"/>
    <col min="10748" max="10748" width="11.5546875" style="21" customWidth="1"/>
    <col min="10749" max="10749" width="3.33203125" style="21" customWidth="1"/>
    <col min="10750" max="10998" width="9.109375" style="21"/>
    <col min="10999" max="10999" width="24.44140625" style="21" customWidth="1"/>
    <col min="11000" max="11000" width="8.44140625" style="21" customWidth="1"/>
    <col min="11001" max="11001" width="3.109375" style="21" customWidth="1"/>
    <col min="11002" max="11002" width="43.88671875" style="21" customWidth="1"/>
    <col min="11003" max="11003" width="5" style="21" customWidth="1"/>
    <col min="11004" max="11004" width="11.5546875" style="21" customWidth="1"/>
    <col min="11005" max="11005" width="3.33203125" style="21" customWidth="1"/>
    <col min="11006" max="11254" width="9.109375" style="21"/>
    <col min="11255" max="11255" width="24.44140625" style="21" customWidth="1"/>
    <col min="11256" max="11256" width="8.44140625" style="21" customWidth="1"/>
    <col min="11257" max="11257" width="3.109375" style="21" customWidth="1"/>
    <col min="11258" max="11258" width="43.88671875" style="21" customWidth="1"/>
    <col min="11259" max="11259" width="5" style="21" customWidth="1"/>
    <col min="11260" max="11260" width="11.5546875" style="21" customWidth="1"/>
    <col min="11261" max="11261" width="3.33203125" style="21" customWidth="1"/>
    <col min="11262" max="11510" width="9.109375" style="21"/>
    <col min="11511" max="11511" width="24.44140625" style="21" customWidth="1"/>
    <col min="11512" max="11512" width="8.44140625" style="21" customWidth="1"/>
    <col min="11513" max="11513" width="3.109375" style="21" customWidth="1"/>
    <col min="11514" max="11514" width="43.88671875" style="21" customWidth="1"/>
    <col min="11515" max="11515" width="5" style="21" customWidth="1"/>
    <col min="11516" max="11516" width="11.5546875" style="21" customWidth="1"/>
    <col min="11517" max="11517" width="3.33203125" style="21" customWidth="1"/>
    <col min="11518" max="11766" width="9.109375" style="21"/>
    <col min="11767" max="11767" width="24.44140625" style="21" customWidth="1"/>
    <col min="11768" max="11768" width="8.44140625" style="21" customWidth="1"/>
    <col min="11769" max="11769" width="3.109375" style="21" customWidth="1"/>
    <col min="11770" max="11770" width="43.88671875" style="21" customWidth="1"/>
    <col min="11771" max="11771" width="5" style="21" customWidth="1"/>
    <col min="11772" max="11772" width="11.5546875" style="21" customWidth="1"/>
    <col min="11773" max="11773" width="3.33203125" style="21" customWidth="1"/>
    <col min="11774" max="12022" width="9.109375" style="21"/>
    <col min="12023" max="12023" width="24.44140625" style="21" customWidth="1"/>
    <col min="12024" max="12024" width="8.44140625" style="21" customWidth="1"/>
    <col min="12025" max="12025" width="3.109375" style="21" customWidth="1"/>
    <col min="12026" max="12026" width="43.88671875" style="21" customWidth="1"/>
    <col min="12027" max="12027" width="5" style="21" customWidth="1"/>
    <col min="12028" max="12028" width="11.5546875" style="21" customWidth="1"/>
    <col min="12029" max="12029" width="3.33203125" style="21" customWidth="1"/>
    <col min="12030" max="12278" width="9.109375" style="21"/>
    <col min="12279" max="12279" width="24.44140625" style="21" customWidth="1"/>
    <col min="12280" max="12280" width="8.44140625" style="21" customWidth="1"/>
    <col min="12281" max="12281" width="3.109375" style="21" customWidth="1"/>
    <col min="12282" max="12282" width="43.88671875" style="21" customWidth="1"/>
    <col min="12283" max="12283" width="5" style="21" customWidth="1"/>
    <col min="12284" max="12284" width="11.5546875" style="21" customWidth="1"/>
    <col min="12285" max="12285" width="3.33203125" style="21" customWidth="1"/>
    <col min="12286" max="12534" width="9.109375" style="21"/>
    <col min="12535" max="12535" width="24.44140625" style="21" customWidth="1"/>
    <col min="12536" max="12536" width="8.44140625" style="21" customWidth="1"/>
    <col min="12537" max="12537" width="3.109375" style="21" customWidth="1"/>
    <col min="12538" max="12538" width="43.88671875" style="21" customWidth="1"/>
    <col min="12539" max="12539" width="5" style="21" customWidth="1"/>
    <col min="12540" max="12540" width="11.5546875" style="21" customWidth="1"/>
    <col min="12541" max="12541" width="3.33203125" style="21" customWidth="1"/>
    <col min="12542" max="12790" width="9.109375" style="21"/>
    <col min="12791" max="12791" width="24.44140625" style="21" customWidth="1"/>
    <col min="12792" max="12792" width="8.44140625" style="21" customWidth="1"/>
    <col min="12793" max="12793" width="3.109375" style="21" customWidth="1"/>
    <col min="12794" max="12794" width="43.88671875" style="21" customWidth="1"/>
    <col min="12795" max="12795" width="5" style="21" customWidth="1"/>
    <col min="12796" max="12796" width="11.5546875" style="21" customWidth="1"/>
    <col min="12797" max="12797" width="3.33203125" style="21" customWidth="1"/>
    <col min="12798" max="13046" width="9.109375" style="21"/>
    <col min="13047" max="13047" width="24.44140625" style="21" customWidth="1"/>
    <col min="13048" max="13048" width="8.44140625" style="21" customWidth="1"/>
    <col min="13049" max="13049" width="3.109375" style="21" customWidth="1"/>
    <col min="13050" max="13050" width="43.88671875" style="21" customWidth="1"/>
    <col min="13051" max="13051" width="5" style="21" customWidth="1"/>
    <col min="13052" max="13052" width="11.5546875" style="21" customWidth="1"/>
    <col min="13053" max="13053" width="3.33203125" style="21" customWidth="1"/>
    <col min="13054" max="13302" width="9.109375" style="21"/>
    <col min="13303" max="13303" width="24.44140625" style="21" customWidth="1"/>
    <col min="13304" max="13304" width="8.44140625" style="21" customWidth="1"/>
    <col min="13305" max="13305" width="3.109375" style="21" customWidth="1"/>
    <col min="13306" max="13306" width="43.88671875" style="21" customWidth="1"/>
    <col min="13307" max="13307" width="5" style="21" customWidth="1"/>
    <col min="13308" max="13308" width="11.5546875" style="21" customWidth="1"/>
    <col min="13309" max="13309" width="3.33203125" style="21" customWidth="1"/>
    <col min="13310" max="13558" width="9.109375" style="21"/>
    <col min="13559" max="13559" width="24.44140625" style="21" customWidth="1"/>
    <col min="13560" max="13560" width="8.44140625" style="21" customWidth="1"/>
    <col min="13561" max="13561" width="3.109375" style="21" customWidth="1"/>
    <col min="13562" max="13562" width="43.88671875" style="21" customWidth="1"/>
    <col min="13563" max="13563" width="5" style="21" customWidth="1"/>
    <col min="13564" max="13564" width="11.5546875" style="21" customWidth="1"/>
    <col min="13565" max="13565" width="3.33203125" style="21" customWidth="1"/>
    <col min="13566" max="13814" width="9.109375" style="21"/>
    <col min="13815" max="13815" width="24.44140625" style="21" customWidth="1"/>
    <col min="13816" max="13816" width="8.44140625" style="21" customWidth="1"/>
    <col min="13817" max="13817" width="3.109375" style="21" customWidth="1"/>
    <col min="13818" max="13818" width="43.88671875" style="21" customWidth="1"/>
    <col min="13819" max="13819" width="5" style="21" customWidth="1"/>
    <col min="13820" max="13820" width="11.5546875" style="21" customWidth="1"/>
    <col min="13821" max="13821" width="3.33203125" style="21" customWidth="1"/>
    <col min="13822" max="14070" width="9.109375" style="21"/>
    <col min="14071" max="14071" width="24.44140625" style="21" customWidth="1"/>
    <col min="14072" max="14072" width="8.44140625" style="21" customWidth="1"/>
    <col min="14073" max="14073" width="3.109375" style="21" customWidth="1"/>
    <col min="14074" max="14074" width="43.88671875" style="21" customWidth="1"/>
    <col min="14075" max="14075" width="5" style="21" customWidth="1"/>
    <col min="14076" max="14076" width="11.5546875" style="21" customWidth="1"/>
    <col min="14077" max="14077" width="3.33203125" style="21" customWidth="1"/>
    <col min="14078" max="14326" width="9.109375" style="21"/>
    <col min="14327" max="14327" width="24.44140625" style="21" customWidth="1"/>
    <col min="14328" max="14328" width="8.44140625" style="21" customWidth="1"/>
    <col min="14329" max="14329" width="3.109375" style="21" customWidth="1"/>
    <col min="14330" max="14330" width="43.88671875" style="21" customWidth="1"/>
    <col min="14331" max="14331" width="5" style="21" customWidth="1"/>
    <col min="14332" max="14332" width="11.5546875" style="21" customWidth="1"/>
    <col min="14333" max="14333" width="3.33203125" style="21" customWidth="1"/>
    <col min="14334" max="14582" width="9.109375" style="21"/>
    <col min="14583" max="14583" width="24.44140625" style="21" customWidth="1"/>
    <col min="14584" max="14584" width="8.44140625" style="21" customWidth="1"/>
    <col min="14585" max="14585" width="3.109375" style="21" customWidth="1"/>
    <col min="14586" max="14586" width="43.88671875" style="21" customWidth="1"/>
    <col min="14587" max="14587" width="5" style="21" customWidth="1"/>
    <col min="14588" max="14588" width="11.5546875" style="21" customWidth="1"/>
    <col min="14589" max="14589" width="3.33203125" style="21" customWidth="1"/>
    <col min="14590" max="14838" width="9.109375" style="21"/>
    <col min="14839" max="14839" width="24.44140625" style="21" customWidth="1"/>
    <col min="14840" max="14840" width="8.44140625" style="21" customWidth="1"/>
    <col min="14841" max="14841" width="3.109375" style="21" customWidth="1"/>
    <col min="14842" max="14842" width="43.88671875" style="21" customWidth="1"/>
    <col min="14843" max="14843" width="5" style="21" customWidth="1"/>
    <col min="14844" max="14844" width="11.5546875" style="21" customWidth="1"/>
    <col min="14845" max="14845" width="3.33203125" style="21" customWidth="1"/>
    <col min="14846" max="15094" width="9.109375" style="21"/>
    <col min="15095" max="15095" width="24.44140625" style="21" customWidth="1"/>
    <col min="15096" max="15096" width="8.44140625" style="21" customWidth="1"/>
    <col min="15097" max="15097" width="3.109375" style="21" customWidth="1"/>
    <col min="15098" max="15098" width="43.88671875" style="21" customWidth="1"/>
    <col min="15099" max="15099" width="5" style="21" customWidth="1"/>
    <col min="15100" max="15100" width="11.5546875" style="21" customWidth="1"/>
    <col min="15101" max="15101" width="3.33203125" style="21" customWidth="1"/>
    <col min="15102" max="15350" width="9.109375" style="21"/>
    <col min="15351" max="15351" width="24.44140625" style="21" customWidth="1"/>
    <col min="15352" max="15352" width="8.44140625" style="21" customWidth="1"/>
    <col min="15353" max="15353" width="3.109375" style="21" customWidth="1"/>
    <col min="15354" max="15354" width="43.88671875" style="21" customWidth="1"/>
    <col min="15355" max="15355" width="5" style="21" customWidth="1"/>
    <col min="15356" max="15356" width="11.5546875" style="21" customWidth="1"/>
    <col min="15357" max="15357" width="3.33203125" style="21" customWidth="1"/>
    <col min="15358" max="15606" width="9.109375" style="21"/>
    <col min="15607" max="15607" width="24.44140625" style="21" customWidth="1"/>
    <col min="15608" max="15608" width="8.44140625" style="21" customWidth="1"/>
    <col min="15609" max="15609" width="3.109375" style="21" customWidth="1"/>
    <col min="15610" max="15610" width="43.88671875" style="21" customWidth="1"/>
    <col min="15611" max="15611" width="5" style="21" customWidth="1"/>
    <col min="15612" max="15612" width="11.5546875" style="21" customWidth="1"/>
    <col min="15613" max="15613" width="3.33203125" style="21" customWidth="1"/>
    <col min="15614" max="15862" width="9.109375" style="21"/>
    <col min="15863" max="15863" width="24.44140625" style="21" customWidth="1"/>
    <col min="15864" max="15864" width="8.44140625" style="21" customWidth="1"/>
    <col min="15865" max="15865" width="3.109375" style="21" customWidth="1"/>
    <col min="15866" max="15866" width="43.88671875" style="21" customWidth="1"/>
    <col min="15867" max="15867" width="5" style="21" customWidth="1"/>
    <col min="15868" max="15868" width="11.5546875" style="21" customWidth="1"/>
    <col min="15869" max="15869" width="3.33203125" style="21" customWidth="1"/>
    <col min="15870" max="16118" width="9.109375" style="21"/>
    <col min="16119" max="16119" width="24.44140625" style="21" customWidth="1"/>
    <col min="16120" max="16120" width="8.44140625" style="21" customWidth="1"/>
    <col min="16121" max="16121" width="3.109375" style="21" customWidth="1"/>
    <col min="16122" max="16122" width="43.88671875" style="21" customWidth="1"/>
    <col min="16123" max="16123" width="5" style="21" customWidth="1"/>
    <col min="16124" max="16124" width="11.5546875" style="21" customWidth="1"/>
    <col min="16125" max="16125" width="3.33203125" style="21" customWidth="1"/>
    <col min="16126" max="16384" width="9.109375" style="21"/>
  </cols>
  <sheetData>
    <row r="1" spans="1:6" x14ac:dyDescent="0.25">
      <c r="A1" s="20"/>
    </row>
    <row r="2" spans="1:6" ht="39" customHeight="1" x14ac:dyDescent="0.25">
      <c r="A2" s="20"/>
      <c r="B2" s="241" t="s">
        <v>208</v>
      </c>
      <c r="C2" s="241"/>
      <c r="D2" s="241"/>
      <c r="E2" s="241"/>
      <c r="F2" s="241"/>
    </row>
    <row r="3" spans="1:6" x14ac:dyDescent="0.25">
      <c r="A3" s="20"/>
      <c r="B3" s="22"/>
      <c r="C3" s="23" t="s">
        <v>24</v>
      </c>
      <c r="D3" s="24" t="s">
        <v>0</v>
      </c>
      <c r="F3" s="25" t="s">
        <v>147</v>
      </c>
    </row>
    <row r="4" spans="1:6" x14ac:dyDescent="0.25">
      <c r="A4" s="20"/>
      <c r="B4" s="26" t="s">
        <v>47</v>
      </c>
      <c r="C4" s="27"/>
      <c r="D4" s="28" t="s">
        <v>45</v>
      </c>
    </row>
    <row r="5" spans="1:6" x14ac:dyDescent="0.25">
      <c r="A5" s="20"/>
      <c r="B5" s="16" t="s">
        <v>29</v>
      </c>
      <c r="C5" s="93">
        <v>25</v>
      </c>
      <c r="D5" s="28" t="s">
        <v>46</v>
      </c>
      <c r="F5" s="29"/>
    </row>
    <row r="6" spans="1:6" x14ac:dyDescent="0.25">
      <c r="A6" s="20"/>
      <c r="B6" s="16" t="s">
        <v>30</v>
      </c>
      <c r="C6" s="93">
        <v>25</v>
      </c>
      <c r="D6" s="28" t="s">
        <v>46</v>
      </c>
      <c r="F6" s="29"/>
    </row>
    <row r="7" spans="1:6" x14ac:dyDescent="0.25">
      <c r="A7" s="20"/>
      <c r="B7" s="16" t="s">
        <v>31</v>
      </c>
      <c r="C7" s="93">
        <v>50</v>
      </c>
      <c r="D7" s="28" t="s">
        <v>46</v>
      </c>
      <c r="F7" s="29"/>
    </row>
    <row r="8" spans="1:6" x14ac:dyDescent="0.25">
      <c r="A8" s="20"/>
      <c r="B8" s="16" t="s">
        <v>32</v>
      </c>
      <c r="C8" s="93">
        <v>50</v>
      </c>
      <c r="D8" s="28" t="s">
        <v>46</v>
      </c>
      <c r="F8" s="29"/>
    </row>
    <row r="9" spans="1:6" x14ac:dyDescent="0.25">
      <c r="A9" s="20"/>
      <c r="B9" s="30" t="s">
        <v>108</v>
      </c>
      <c r="C9" s="93">
        <v>30</v>
      </c>
      <c r="D9" s="28" t="s">
        <v>46</v>
      </c>
      <c r="F9" s="29"/>
    </row>
    <row r="10" spans="1:6" x14ac:dyDescent="0.25">
      <c r="A10" s="20"/>
      <c r="B10" s="16" t="s">
        <v>33</v>
      </c>
      <c r="C10" s="93">
        <v>400</v>
      </c>
      <c r="D10" s="28"/>
      <c r="F10" s="29"/>
    </row>
    <row r="11" spans="1:6" x14ac:dyDescent="0.25">
      <c r="A11" s="20"/>
      <c r="B11" s="16" t="s">
        <v>34</v>
      </c>
      <c r="C11" s="93">
        <f>SUM(C5:C10)*0.065</f>
        <v>37.700000000000003</v>
      </c>
      <c r="D11" s="28" t="s">
        <v>76</v>
      </c>
      <c r="F11" s="29"/>
    </row>
    <row r="12" spans="1:6" ht="14.4" x14ac:dyDescent="0.3">
      <c r="A12" s="20"/>
      <c r="B12" s="31" t="s">
        <v>35</v>
      </c>
      <c r="C12" s="32">
        <f>SUM(C5:C11)</f>
        <v>617.70000000000005</v>
      </c>
      <c r="D12" s="28"/>
      <c r="F12" s="29"/>
    </row>
    <row r="13" spans="1:6" x14ac:dyDescent="0.25">
      <c r="A13" s="20"/>
      <c r="B13" s="33"/>
      <c r="C13" s="34"/>
      <c r="D13" s="33"/>
    </row>
    <row r="14" spans="1:6" x14ac:dyDescent="0.25">
      <c r="A14" s="20"/>
      <c r="B14" s="26" t="s">
        <v>48</v>
      </c>
      <c r="C14" s="34"/>
      <c r="D14" s="35"/>
    </row>
    <row r="15" spans="1:6" x14ac:dyDescent="0.25">
      <c r="A15" s="20"/>
      <c r="B15" s="16" t="s">
        <v>36</v>
      </c>
      <c r="C15" s="93">
        <v>1160</v>
      </c>
      <c r="D15" s="28"/>
      <c r="F15" s="29"/>
    </row>
    <row r="16" spans="1:6" x14ac:dyDescent="0.25">
      <c r="A16" s="20"/>
      <c r="B16" s="16" t="s">
        <v>37</v>
      </c>
      <c r="C16" s="93">
        <v>270</v>
      </c>
      <c r="D16" s="28"/>
      <c r="F16" s="29"/>
    </row>
    <row r="17" spans="1:6" x14ac:dyDescent="0.25">
      <c r="A17" s="20"/>
      <c r="B17" s="16" t="s">
        <v>38</v>
      </c>
      <c r="C17" s="93">
        <v>50</v>
      </c>
      <c r="D17" s="28"/>
      <c r="F17" s="29"/>
    </row>
    <row r="18" spans="1:6" x14ac:dyDescent="0.25">
      <c r="A18" s="20"/>
      <c r="B18" s="16" t="s">
        <v>39</v>
      </c>
      <c r="C18" s="93">
        <v>250</v>
      </c>
      <c r="D18" s="28"/>
      <c r="F18" s="29"/>
    </row>
    <row r="19" spans="1:6" x14ac:dyDescent="0.25">
      <c r="A19" s="20"/>
      <c r="B19" s="16" t="s">
        <v>206</v>
      </c>
      <c r="C19" s="93">
        <v>1200</v>
      </c>
      <c r="D19" s="28"/>
      <c r="F19" s="29"/>
    </row>
    <row r="20" spans="1:6" x14ac:dyDescent="0.25">
      <c r="A20" s="20"/>
      <c r="B20" s="30" t="s">
        <v>207</v>
      </c>
      <c r="C20" s="93">
        <v>2000</v>
      </c>
      <c r="D20" s="28"/>
      <c r="F20" s="29"/>
    </row>
    <row r="21" spans="1:6" x14ac:dyDescent="0.25">
      <c r="A21" s="20"/>
      <c r="B21" s="16" t="s">
        <v>40</v>
      </c>
      <c r="C21" s="93">
        <v>2000</v>
      </c>
      <c r="D21" s="28"/>
      <c r="F21" s="29"/>
    </row>
    <row r="22" spans="1:6" x14ac:dyDescent="0.25">
      <c r="A22" s="20"/>
      <c r="B22" s="16" t="s">
        <v>41</v>
      </c>
      <c r="C22" s="93">
        <v>200</v>
      </c>
      <c r="D22" s="28" t="s">
        <v>74</v>
      </c>
      <c r="F22" s="29"/>
    </row>
    <row r="23" spans="1:6" x14ac:dyDescent="0.25">
      <c r="A23" s="20"/>
      <c r="B23" s="16" t="s">
        <v>34</v>
      </c>
      <c r="C23" s="93">
        <f>(SUM(C15:C22)*0.065)</f>
        <v>463.45</v>
      </c>
      <c r="D23" s="28" t="s">
        <v>77</v>
      </c>
      <c r="F23" s="29"/>
    </row>
    <row r="24" spans="1:6" ht="14.4" x14ac:dyDescent="0.3">
      <c r="A24" s="20"/>
      <c r="B24" s="36" t="s">
        <v>42</v>
      </c>
      <c r="C24" s="32">
        <f>+SUM(C15:C23)</f>
        <v>7593.45</v>
      </c>
      <c r="D24" s="28"/>
      <c r="F24" s="29"/>
    </row>
    <row r="25" spans="1:6" x14ac:dyDescent="0.25">
      <c r="A25" s="20"/>
      <c r="B25" s="37"/>
      <c r="C25" s="34"/>
      <c r="D25" s="33"/>
    </row>
    <row r="26" spans="1:6" x14ac:dyDescent="0.25">
      <c r="A26" s="20"/>
      <c r="B26" s="38" t="s">
        <v>43</v>
      </c>
      <c r="C26" s="39"/>
      <c r="D26" s="40"/>
    </row>
    <row r="27" spans="1:6" x14ac:dyDescent="0.25">
      <c r="A27" s="20"/>
      <c r="B27" s="38" t="s">
        <v>44</v>
      </c>
      <c r="C27" s="39">
        <f>+C12+C24</f>
        <v>8211.15</v>
      </c>
      <c r="D27" s="28"/>
      <c r="F27" s="29"/>
    </row>
    <row r="28" spans="1:6" x14ac:dyDescent="0.25">
      <c r="A28" s="20"/>
      <c r="B28" s="17"/>
      <c r="C28" s="41"/>
      <c r="D28" s="17"/>
      <c r="F28" s="42"/>
    </row>
    <row r="29" spans="1:6" x14ac:dyDescent="0.25">
      <c r="A29" s="20"/>
      <c r="C29" s="43"/>
    </row>
    <row r="30" spans="1:6" x14ac:dyDescent="0.25">
      <c r="A30" s="20"/>
      <c r="C30" s="43"/>
    </row>
    <row r="31" spans="1:6" x14ac:dyDescent="0.25">
      <c r="A31" s="20"/>
      <c r="C31" s="43"/>
    </row>
    <row r="32" spans="1:6" x14ac:dyDescent="0.25">
      <c r="A32" s="20"/>
      <c r="C32" s="43"/>
    </row>
    <row r="33" spans="1:3" x14ac:dyDescent="0.25">
      <c r="A33" s="20"/>
      <c r="C33" s="43"/>
    </row>
    <row r="34" spans="1:3" x14ac:dyDescent="0.25">
      <c r="A34" s="20"/>
      <c r="C34" s="43"/>
    </row>
    <row r="35" spans="1:3" x14ac:dyDescent="0.25">
      <c r="A35" s="20"/>
      <c r="C35" s="43"/>
    </row>
    <row r="36" spans="1:3" x14ac:dyDescent="0.25">
      <c r="A36" s="20"/>
      <c r="C36" s="43"/>
    </row>
    <row r="37" spans="1:3" x14ac:dyDescent="0.25">
      <c r="A37" s="20"/>
      <c r="C37" s="43"/>
    </row>
    <row r="38" spans="1:3" x14ac:dyDescent="0.25">
      <c r="C38" s="43"/>
    </row>
  </sheetData>
  <sheetProtection sheet="1" objects="1" scenarios="1"/>
  <protectedRanges>
    <protectedRange sqref="A1:XFD11 A13:XFD23 A25:XFD25 A28:XFD38" name="Range1"/>
  </protectedRanges>
  <customSheetViews>
    <customSheetView guid="{76B766A5-443C-4C54-86C8-F5C661F06BFC}" fitToPage="1">
      <selection activeCell="B20" sqref="B20:B21"/>
      <pageMargins left="0.7" right="0.7" top="0.75" bottom="0.75" header="0.3" footer="0.3"/>
      <pageSetup orientation="portrait" r:id="rId1"/>
    </customSheetView>
    <customSheetView guid="{4DF746F6-C3F2-4BEF-B84D-60D120277636}" fitToPage="1">
      <selection activeCell="B2" sqref="B2:F2"/>
      <pageMargins left="0.7" right="0.7" top="0.75" bottom="0.75" header="0.3" footer="0.3"/>
      <pageSetup orientation="portrait" r:id="rId2"/>
    </customSheetView>
  </customSheetViews>
  <mergeCells count="1">
    <mergeCell ref="B2:F2"/>
  </mergeCells>
  <pageMargins left="0.7" right="0.7" top="0.75" bottom="0.75" header="0.3" footer="0.3"/>
  <pageSetup orientation="portrait" r:id="rId3"/>
  <ignoredErrors>
    <ignoredError sqref="C23 C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3"/>
  <sheetViews>
    <sheetView workbookViewId="0">
      <selection activeCell="F40" sqref="F40"/>
    </sheetView>
  </sheetViews>
  <sheetFormatPr defaultRowHeight="13.8" x14ac:dyDescent="0.25"/>
  <cols>
    <col min="1" max="1" width="9.109375" style="21"/>
    <col min="2" max="2" width="2.5546875" style="21" customWidth="1"/>
    <col min="3" max="3" width="33.5546875" style="21" customWidth="1"/>
    <col min="4" max="4" width="12.88671875" style="21" customWidth="1"/>
    <col min="5" max="5" width="16.33203125" style="44" customWidth="1"/>
    <col min="6" max="6" width="72.44140625" style="21" customWidth="1"/>
    <col min="7" max="7" width="3.33203125" style="20" customWidth="1"/>
    <col min="8" max="8" width="19.33203125" style="21" customWidth="1"/>
    <col min="9" max="241" width="9.109375" style="21"/>
    <col min="242" max="242" width="1.88671875" style="21" customWidth="1"/>
    <col min="243" max="243" width="2.6640625" style="21" customWidth="1"/>
    <col min="244" max="244" width="17.6640625" style="21" customWidth="1"/>
    <col min="245" max="245" width="3.109375" style="21" customWidth="1"/>
    <col min="246" max="246" width="9.5546875" style="21" customWidth="1"/>
    <col min="247" max="247" width="10.5546875" style="21" customWidth="1"/>
    <col min="248" max="248" width="10.88671875" style="21" customWidth="1"/>
    <col min="249" max="250" width="9.109375" style="21"/>
    <col min="251" max="251" width="23.5546875" style="21" customWidth="1"/>
    <col min="252" max="252" width="3.33203125" style="21" customWidth="1"/>
    <col min="253" max="253" width="9" style="21" customWidth="1"/>
    <col min="254" max="254" width="1" style="21" customWidth="1"/>
    <col min="255" max="255" width="9.33203125" style="21" customWidth="1"/>
    <col min="256" max="256" width="4.44140625" style="21" customWidth="1"/>
    <col min="257" max="257" width="13.88671875" style="21" customWidth="1"/>
    <col min="258" max="497" width="9.109375" style="21"/>
    <col min="498" max="498" width="1.88671875" style="21" customWidth="1"/>
    <col min="499" max="499" width="2.6640625" style="21" customWidth="1"/>
    <col min="500" max="500" width="17.6640625" style="21" customWidth="1"/>
    <col min="501" max="501" width="3.109375" style="21" customWidth="1"/>
    <col min="502" max="502" width="9.5546875" style="21" customWidth="1"/>
    <col min="503" max="503" width="10.5546875" style="21" customWidth="1"/>
    <col min="504" max="504" width="10.88671875" style="21" customWidth="1"/>
    <col min="505" max="506" width="9.109375" style="21"/>
    <col min="507" max="507" width="23.5546875" style="21" customWidth="1"/>
    <col min="508" max="508" width="3.33203125" style="21" customWidth="1"/>
    <col min="509" max="509" width="9" style="21" customWidth="1"/>
    <col min="510" max="510" width="1" style="21" customWidth="1"/>
    <col min="511" max="511" width="9.33203125" style="21" customWidth="1"/>
    <col min="512" max="512" width="4.44140625" style="21" customWidth="1"/>
    <col min="513" max="513" width="13.88671875" style="21" customWidth="1"/>
    <col min="514" max="753" width="9.109375" style="21"/>
    <col min="754" max="754" width="1.88671875" style="21" customWidth="1"/>
    <col min="755" max="755" width="2.6640625" style="21" customWidth="1"/>
    <col min="756" max="756" width="17.6640625" style="21" customWidth="1"/>
    <col min="757" max="757" width="3.109375" style="21" customWidth="1"/>
    <col min="758" max="758" width="9.5546875" style="21" customWidth="1"/>
    <col min="759" max="759" width="10.5546875" style="21" customWidth="1"/>
    <col min="760" max="760" width="10.88671875" style="21" customWidth="1"/>
    <col min="761" max="762" width="9.109375" style="21"/>
    <col min="763" max="763" width="23.5546875" style="21" customWidth="1"/>
    <col min="764" max="764" width="3.33203125" style="21" customWidth="1"/>
    <col min="765" max="765" width="9" style="21" customWidth="1"/>
    <col min="766" max="766" width="1" style="21" customWidth="1"/>
    <col min="767" max="767" width="9.33203125" style="21" customWidth="1"/>
    <col min="768" max="768" width="4.44140625" style="21" customWidth="1"/>
    <col min="769" max="769" width="13.88671875" style="21" customWidth="1"/>
    <col min="770" max="1009" width="9.109375" style="21"/>
    <col min="1010" max="1010" width="1.88671875" style="21" customWidth="1"/>
    <col min="1011" max="1011" width="2.6640625" style="21" customWidth="1"/>
    <col min="1012" max="1012" width="17.6640625" style="21" customWidth="1"/>
    <col min="1013" max="1013" width="3.109375" style="21" customWidth="1"/>
    <col min="1014" max="1014" width="9.5546875" style="21" customWidth="1"/>
    <col min="1015" max="1015" width="10.5546875" style="21" customWidth="1"/>
    <col min="1016" max="1016" width="10.88671875" style="21" customWidth="1"/>
    <col min="1017" max="1018" width="9.109375" style="21"/>
    <col min="1019" max="1019" width="23.5546875" style="21" customWidth="1"/>
    <col min="1020" max="1020" width="3.33203125" style="21" customWidth="1"/>
    <col min="1021" max="1021" width="9" style="21" customWidth="1"/>
    <col min="1022" max="1022" width="1" style="21" customWidth="1"/>
    <col min="1023" max="1023" width="9.33203125" style="21" customWidth="1"/>
    <col min="1024" max="1024" width="4.44140625" style="21" customWidth="1"/>
    <col min="1025" max="1025" width="13.88671875" style="21" customWidth="1"/>
    <col min="1026" max="1265" width="9.109375" style="21"/>
    <col min="1266" max="1266" width="1.88671875" style="21" customWidth="1"/>
    <col min="1267" max="1267" width="2.6640625" style="21" customWidth="1"/>
    <col min="1268" max="1268" width="17.6640625" style="21" customWidth="1"/>
    <col min="1269" max="1269" width="3.109375" style="21" customWidth="1"/>
    <col min="1270" max="1270" width="9.5546875" style="21" customWidth="1"/>
    <col min="1271" max="1271" width="10.5546875" style="21" customWidth="1"/>
    <col min="1272" max="1272" width="10.88671875" style="21" customWidth="1"/>
    <col min="1273" max="1274" width="9.109375" style="21"/>
    <col min="1275" max="1275" width="23.5546875" style="21" customWidth="1"/>
    <col min="1276" max="1276" width="3.33203125" style="21" customWidth="1"/>
    <col min="1277" max="1277" width="9" style="21" customWidth="1"/>
    <col min="1278" max="1278" width="1" style="21" customWidth="1"/>
    <col min="1279" max="1279" width="9.33203125" style="21" customWidth="1"/>
    <col min="1280" max="1280" width="4.44140625" style="21" customWidth="1"/>
    <col min="1281" max="1281" width="13.88671875" style="21" customWidth="1"/>
    <col min="1282" max="1521" width="9.109375" style="21"/>
    <col min="1522" max="1522" width="1.88671875" style="21" customWidth="1"/>
    <col min="1523" max="1523" width="2.6640625" style="21" customWidth="1"/>
    <col min="1524" max="1524" width="17.6640625" style="21" customWidth="1"/>
    <col min="1525" max="1525" width="3.109375" style="21" customWidth="1"/>
    <col min="1526" max="1526" width="9.5546875" style="21" customWidth="1"/>
    <col min="1527" max="1527" width="10.5546875" style="21" customWidth="1"/>
    <col min="1528" max="1528" width="10.88671875" style="21" customWidth="1"/>
    <col min="1529" max="1530" width="9.109375" style="21"/>
    <col min="1531" max="1531" width="23.5546875" style="21" customWidth="1"/>
    <col min="1532" max="1532" width="3.33203125" style="21" customWidth="1"/>
    <col min="1533" max="1533" width="9" style="21" customWidth="1"/>
    <col min="1534" max="1534" width="1" style="21" customWidth="1"/>
    <col min="1535" max="1535" width="9.33203125" style="21" customWidth="1"/>
    <col min="1536" max="1536" width="4.44140625" style="21" customWidth="1"/>
    <col min="1537" max="1537" width="13.88671875" style="21" customWidth="1"/>
    <col min="1538" max="1777" width="9.109375" style="21"/>
    <col min="1778" max="1778" width="1.88671875" style="21" customWidth="1"/>
    <col min="1779" max="1779" width="2.6640625" style="21" customWidth="1"/>
    <col min="1780" max="1780" width="17.6640625" style="21" customWidth="1"/>
    <col min="1781" max="1781" width="3.109375" style="21" customWidth="1"/>
    <col min="1782" max="1782" width="9.5546875" style="21" customWidth="1"/>
    <col min="1783" max="1783" width="10.5546875" style="21" customWidth="1"/>
    <col min="1784" max="1784" width="10.88671875" style="21" customWidth="1"/>
    <col min="1785" max="1786" width="9.109375" style="21"/>
    <col min="1787" max="1787" width="23.5546875" style="21" customWidth="1"/>
    <col min="1788" max="1788" width="3.33203125" style="21" customWidth="1"/>
    <col min="1789" max="1789" width="9" style="21" customWidth="1"/>
    <col min="1790" max="1790" width="1" style="21" customWidth="1"/>
    <col min="1791" max="1791" width="9.33203125" style="21" customWidth="1"/>
    <col min="1792" max="1792" width="4.44140625" style="21" customWidth="1"/>
    <col min="1793" max="1793" width="13.88671875" style="21" customWidth="1"/>
    <col min="1794" max="2033" width="9.109375" style="21"/>
    <col min="2034" max="2034" width="1.88671875" style="21" customWidth="1"/>
    <col min="2035" max="2035" width="2.6640625" style="21" customWidth="1"/>
    <col min="2036" max="2036" width="17.6640625" style="21" customWidth="1"/>
    <col min="2037" max="2037" width="3.109375" style="21" customWidth="1"/>
    <col min="2038" max="2038" width="9.5546875" style="21" customWidth="1"/>
    <col min="2039" max="2039" width="10.5546875" style="21" customWidth="1"/>
    <col min="2040" max="2040" width="10.88671875" style="21" customWidth="1"/>
    <col min="2041" max="2042" width="9.109375" style="21"/>
    <col min="2043" max="2043" width="23.5546875" style="21" customWidth="1"/>
    <col min="2044" max="2044" width="3.33203125" style="21" customWidth="1"/>
    <col min="2045" max="2045" width="9" style="21" customWidth="1"/>
    <col min="2046" max="2046" width="1" style="21" customWidth="1"/>
    <col min="2047" max="2047" width="9.33203125" style="21" customWidth="1"/>
    <col min="2048" max="2048" width="4.44140625" style="21" customWidth="1"/>
    <col min="2049" max="2049" width="13.88671875" style="21" customWidth="1"/>
    <col min="2050" max="2289" width="9.109375" style="21"/>
    <col min="2290" max="2290" width="1.88671875" style="21" customWidth="1"/>
    <col min="2291" max="2291" width="2.6640625" style="21" customWidth="1"/>
    <col min="2292" max="2292" width="17.6640625" style="21" customWidth="1"/>
    <col min="2293" max="2293" width="3.109375" style="21" customWidth="1"/>
    <col min="2294" max="2294" width="9.5546875" style="21" customWidth="1"/>
    <col min="2295" max="2295" width="10.5546875" style="21" customWidth="1"/>
    <col min="2296" max="2296" width="10.88671875" style="21" customWidth="1"/>
    <col min="2297" max="2298" width="9.109375" style="21"/>
    <col min="2299" max="2299" width="23.5546875" style="21" customWidth="1"/>
    <col min="2300" max="2300" width="3.33203125" style="21" customWidth="1"/>
    <col min="2301" max="2301" width="9" style="21" customWidth="1"/>
    <col min="2302" max="2302" width="1" style="21" customWidth="1"/>
    <col min="2303" max="2303" width="9.33203125" style="21" customWidth="1"/>
    <col min="2304" max="2304" width="4.44140625" style="21" customWidth="1"/>
    <col min="2305" max="2305" width="13.88671875" style="21" customWidth="1"/>
    <col min="2306" max="2545" width="9.109375" style="21"/>
    <col min="2546" max="2546" width="1.88671875" style="21" customWidth="1"/>
    <col min="2547" max="2547" width="2.6640625" style="21" customWidth="1"/>
    <col min="2548" max="2548" width="17.6640625" style="21" customWidth="1"/>
    <col min="2549" max="2549" width="3.109375" style="21" customWidth="1"/>
    <col min="2550" max="2550" width="9.5546875" style="21" customWidth="1"/>
    <col min="2551" max="2551" width="10.5546875" style="21" customWidth="1"/>
    <col min="2552" max="2552" width="10.88671875" style="21" customWidth="1"/>
    <col min="2553" max="2554" width="9.109375" style="21"/>
    <col min="2555" max="2555" width="23.5546875" style="21" customWidth="1"/>
    <col min="2556" max="2556" width="3.33203125" style="21" customWidth="1"/>
    <col min="2557" max="2557" width="9" style="21" customWidth="1"/>
    <col min="2558" max="2558" width="1" style="21" customWidth="1"/>
    <col min="2559" max="2559" width="9.33203125" style="21" customWidth="1"/>
    <col min="2560" max="2560" width="4.44140625" style="21" customWidth="1"/>
    <col min="2561" max="2561" width="13.88671875" style="21" customWidth="1"/>
    <col min="2562" max="2801" width="9.109375" style="21"/>
    <col min="2802" max="2802" width="1.88671875" style="21" customWidth="1"/>
    <col min="2803" max="2803" width="2.6640625" style="21" customWidth="1"/>
    <col min="2804" max="2804" width="17.6640625" style="21" customWidth="1"/>
    <col min="2805" max="2805" width="3.109375" style="21" customWidth="1"/>
    <col min="2806" max="2806" width="9.5546875" style="21" customWidth="1"/>
    <col min="2807" max="2807" width="10.5546875" style="21" customWidth="1"/>
    <col min="2808" max="2808" width="10.88671875" style="21" customWidth="1"/>
    <col min="2809" max="2810" width="9.109375" style="21"/>
    <col min="2811" max="2811" width="23.5546875" style="21" customWidth="1"/>
    <col min="2812" max="2812" width="3.33203125" style="21" customWidth="1"/>
    <col min="2813" max="2813" width="9" style="21" customWidth="1"/>
    <col min="2814" max="2814" width="1" style="21" customWidth="1"/>
    <col min="2815" max="2815" width="9.33203125" style="21" customWidth="1"/>
    <col min="2816" max="2816" width="4.44140625" style="21" customWidth="1"/>
    <col min="2817" max="2817" width="13.88671875" style="21" customWidth="1"/>
    <col min="2818" max="3057" width="9.109375" style="21"/>
    <col min="3058" max="3058" width="1.88671875" style="21" customWidth="1"/>
    <col min="3059" max="3059" width="2.6640625" style="21" customWidth="1"/>
    <col min="3060" max="3060" width="17.6640625" style="21" customWidth="1"/>
    <col min="3061" max="3061" width="3.109375" style="21" customWidth="1"/>
    <col min="3062" max="3062" width="9.5546875" style="21" customWidth="1"/>
    <col min="3063" max="3063" width="10.5546875" style="21" customWidth="1"/>
    <col min="3064" max="3064" width="10.88671875" style="21" customWidth="1"/>
    <col min="3065" max="3066" width="9.109375" style="21"/>
    <col min="3067" max="3067" width="23.5546875" style="21" customWidth="1"/>
    <col min="3068" max="3068" width="3.33203125" style="21" customWidth="1"/>
    <col min="3069" max="3069" width="9" style="21" customWidth="1"/>
    <col min="3070" max="3070" width="1" style="21" customWidth="1"/>
    <col min="3071" max="3071" width="9.33203125" style="21" customWidth="1"/>
    <col min="3072" max="3072" width="4.44140625" style="21" customWidth="1"/>
    <col min="3073" max="3073" width="13.88671875" style="21" customWidth="1"/>
    <col min="3074" max="3313" width="9.109375" style="21"/>
    <col min="3314" max="3314" width="1.88671875" style="21" customWidth="1"/>
    <col min="3315" max="3315" width="2.6640625" style="21" customWidth="1"/>
    <col min="3316" max="3316" width="17.6640625" style="21" customWidth="1"/>
    <col min="3317" max="3317" width="3.109375" style="21" customWidth="1"/>
    <col min="3318" max="3318" width="9.5546875" style="21" customWidth="1"/>
    <col min="3319" max="3319" width="10.5546875" style="21" customWidth="1"/>
    <col min="3320" max="3320" width="10.88671875" style="21" customWidth="1"/>
    <col min="3321" max="3322" width="9.109375" style="21"/>
    <col min="3323" max="3323" width="23.5546875" style="21" customWidth="1"/>
    <col min="3324" max="3324" width="3.33203125" style="21" customWidth="1"/>
    <col min="3325" max="3325" width="9" style="21" customWidth="1"/>
    <col min="3326" max="3326" width="1" style="21" customWidth="1"/>
    <col min="3327" max="3327" width="9.33203125" style="21" customWidth="1"/>
    <col min="3328" max="3328" width="4.44140625" style="21" customWidth="1"/>
    <col min="3329" max="3329" width="13.88671875" style="21" customWidth="1"/>
    <col min="3330" max="3569" width="9.109375" style="21"/>
    <col min="3570" max="3570" width="1.88671875" style="21" customWidth="1"/>
    <col min="3571" max="3571" width="2.6640625" style="21" customWidth="1"/>
    <col min="3572" max="3572" width="17.6640625" style="21" customWidth="1"/>
    <col min="3573" max="3573" width="3.109375" style="21" customWidth="1"/>
    <col min="3574" max="3574" width="9.5546875" style="21" customWidth="1"/>
    <col min="3575" max="3575" width="10.5546875" style="21" customWidth="1"/>
    <col min="3576" max="3576" width="10.88671875" style="21" customWidth="1"/>
    <col min="3577" max="3578" width="9.109375" style="21"/>
    <col min="3579" max="3579" width="23.5546875" style="21" customWidth="1"/>
    <col min="3580" max="3580" width="3.33203125" style="21" customWidth="1"/>
    <col min="3581" max="3581" width="9" style="21" customWidth="1"/>
    <col min="3582" max="3582" width="1" style="21" customWidth="1"/>
    <col min="3583" max="3583" width="9.33203125" style="21" customWidth="1"/>
    <col min="3584" max="3584" width="4.44140625" style="21" customWidth="1"/>
    <col min="3585" max="3585" width="13.88671875" style="21" customWidth="1"/>
    <col min="3586" max="3825" width="9.109375" style="21"/>
    <col min="3826" max="3826" width="1.88671875" style="21" customWidth="1"/>
    <col min="3827" max="3827" width="2.6640625" style="21" customWidth="1"/>
    <col min="3828" max="3828" width="17.6640625" style="21" customWidth="1"/>
    <col min="3829" max="3829" width="3.109375" style="21" customWidth="1"/>
    <col min="3830" max="3830" width="9.5546875" style="21" customWidth="1"/>
    <col min="3831" max="3831" width="10.5546875" style="21" customWidth="1"/>
    <col min="3832" max="3832" width="10.88671875" style="21" customWidth="1"/>
    <col min="3833" max="3834" width="9.109375" style="21"/>
    <col min="3835" max="3835" width="23.5546875" style="21" customWidth="1"/>
    <col min="3836" max="3836" width="3.33203125" style="21" customWidth="1"/>
    <col min="3837" max="3837" width="9" style="21" customWidth="1"/>
    <col min="3838" max="3838" width="1" style="21" customWidth="1"/>
    <col min="3839" max="3839" width="9.33203125" style="21" customWidth="1"/>
    <col min="3840" max="3840" width="4.44140625" style="21" customWidth="1"/>
    <col min="3841" max="3841" width="13.88671875" style="21" customWidth="1"/>
    <col min="3842" max="4081" width="9.109375" style="21"/>
    <col min="4082" max="4082" width="1.88671875" style="21" customWidth="1"/>
    <col min="4083" max="4083" width="2.6640625" style="21" customWidth="1"/>
    <col min="4084" max="4084" width="17.6640625" style="21" customWidth="1"/>
    <col min="4085" max="4085" width="3.109375" style="21" customWidth="1"/>
    <col min="4086" max="4086" width="9.5546875" style="21" customWidth="1"/>
    <col min="4087" max="4087" width="10.5546875" style="21" customWidth="1"/>
    <col min="4088" max="4088" width="10.88671875" style="21" customWidth="1"/>
    <col min="4089" max="4090" width="9.109375" style="21"/>
    <col min="4091" max="4091" width="23.5546875" style="21" customWidth="1"/>
    <col min="4092" max="4092" width="3.33203125" style="21" customWidth="1"/>
    <col min="4093" max="4093" width="9" style="21" customWidth="1"/>
    <col min="4094" max="4094" width="1" style="21" customWidth="1"/>
    <col min="4095" max="4095" width="9.33203125" style="21" customWidth="1"/>
    <col min="4096" max="4096" width="4.44140625" style="21" customWidth="1"/>
    <col min="4097" max="4097" width="13.88671875" style="21" customWidth="1"/>
    <col min="4098" max="4337" width="9.109375" style="21"/>
    <col min="4338" max="4338" width="1.88671875" style="21" customWidth="1"/>
    <col min="4339" max="4339" width="2.6640625" style="21" customWidth="1"/>
    <col min="4340" max="4340" width="17.6640625" style="21" customWidth="1"/>
    <col min="4341" max="4341" width="3.109375" style="21" customWidth="1"/>
    <col min="4342" max="4342" width="9.5546875" style="21" customWidth="1"/>
    <col min="4343" max="4343" width="10.5546875" style="21" customWidth="1"/>
    <col min="4344" max="4344" width="10.88671875" style="21" customWidth="1"/>
    <col min="4345" max="4346" width="9.109375" style="21"/>
    <col min="4347" max="4347" width="23.5546875" style="21" customWidth="1"/>
    <col min="4348" max="4348" width="3.33203125" style="21" customWidth="1"/>
    <col min="4349" max="4349" width="9" style="21" customWidth="1"/>
    <col min="4350" max="4350" width="1" style="21" customWidth="1"/>
    <col min="4351" max="4351" width="9.33203125" style="21" customWidth="1"/>
    <col min="4352" max="4352" width="4.44140625" style="21" customWidth="1"/>
    <col min="4353" max="4353" width="13.88671875" style="21" customWidth="1"/>
    <col min="4354" max="4593" width="9.109375" style="21"/>
    <col min="4594" max="4594" width="1.88671875" style="21" customWidth="1"/>
    <col min="4595" max="4595" width="2.6640625" style="21" customWidth="1"/>
    <col min="4596" max="4596" width="17.6640625" style="21" customWidth="1"/>
    <col min="4597" max="4597" width="3.109375" style="21" customWidth="1"/>
    <col min="4598" max="4598" width="9.5546875" style="21" customWidth="1"/>
    <col min="4599" max="4599" width="10.5546875" style="21" customWidth="1"/>
    <col min="4600" max="4600" width="10.88671875" style="21" customWidth="1"/>
    <col min="4601" max="4602" width="9.109375" style="21"/>
    <col min="4603" max="4603" width="23.5546875" style="21" customWidth="1"/>
    <col min="4604" max="4604" width="3.33203125" style="21" customWidth="1"/>
    <col min="4605" max="4605" width="9" style="21" customWidth="1"/>
    <col min="4606" max="4606" width="1" style="21" customWidth="1"/>
    <col min="4607" max="4607" width="9.33203125" style="21" customWidth="1"/>
    <col min="4608" max="4608" width="4.44140625" style="21" customWidth="1"/>
    <col min="4609" max="4609" width="13.88671875" style="21" customWidth="1"/>
    <col min="4610" max="4849" width="9.109375" style="21"/>
    <col min="4850" max="4850" width="1.88671875" style="21" customWidth="1"/>
    <col min="4851" max="4851" width="2.6640625" style="21" customWidth="1"/>
    <col min="4852" max="4852" width="17.6640625" style="21" customWidth="1"/>
    <col min="4853" max="4853" width="3.109375" style="21" customWidth="1"/>
    <col min="4854" max="4854" width="9.5546875" style="21" customWidth="1"/>
    <col min="4855" max="4855" width="10.5546875" style="21" customWidth="1"/>
    <col min="4856" max="4856" width="10.88671875" style="21" customWidth="1"/>
    <col min="4857" max="4858" width="9.109375" style="21"/>
    <col min="4859" max="4859" width="23.5546875" style="21" customWidth="1"/>
    <col min="4860" max="4860" width="3.33203125" style="21" customWidth="1"/>
    <col min="4861" max="4861" width="9" style="21" customWidth="1"/>
    <col min="4862" max="4862" width="1" style="21" customWidth="1"/>
    <col min="4863" max="4863" width="9.33203125" style="21" customWidth="1"/>
    <col min="4864" max="4864" width="4.44140625" style="21" customWidth="1"/>
    <col min="4865" max="4865" width="13.88671875" style="21" customWidth="1"/>
    <col min="4866" max="5105" width="9.109375" style="21"/>
    <col min="5106" max="5106" width="1.88671875" style="21" customWidth="1"/>
    <col min="5107" max="5107" width="2.6640625" style="21" customWidth="1"/>
    <col min="5108" max="5108" width="17.6640625" style="21" customWidth="1"/>
    <col min="5109" max="5109" width="3.109375" style="21" customWidth="1"/>
    <col min="5110" max="5110" width="9.5546875" style="21" customWidth="1"/>
    <col min="5111" max="5111" width="10.5546875" style="21" customWidth="1"/>
    <col min="5112" max="5112" width="10.88671875" style="21" customWidth="1"/>
    <col min="5113" max="5114" width="9.109375" style="21"/>
    <col min="5115" max="5115" width="23.5546875" style="21" customWidth="1"/>
    <col min="5116" max="5116" width="3.33203125" style="21" customWidth="1"/>
    <col min="5117" max="5117" width="9" style="21" customWidth="1"/>
    <col min="5118" max="5118" width="1" style="21" customWidth="1"/>
    <col min="5119" max="5119" width="9.33203125" style="21" customWidth="1"/>
    <col min="5120" max="5120" width="4.44140625" style="21" customWidth="1"/>
    <col min="5121" max="5121" width="13.88671875" style="21" customWidth="1"/>
    <col min="5122" max="5361" width="9.109375" style="21"/>
    <col min="5362" max="5362" width="1.88671875" style="21" customWidth="1"/>
    <col min="5363" max="5363" width="2.6640625" style="21" customWidth="1"/>
    <col min="5364" max="5364" width="17.6640625" style="21" customWidth="1"/>
    <col min="5365" max="5365" width="3.109375" style="21" customWidth="1"/>
    <col min="5366" max="5366" width="9.5546875" style="21" customWidth="1"/>
    <col min="5367" max="5367" width="10.5546875" style="21" customWidth="1"/>
    <col min="5368" max="5368" width="10.88671875" style="21" customWidth="1"/>
    <col min="5369" max="5370" width="9.109375" style="21"/>
    <col min="5371" max="5371" width="23.5546875" style="21" customWidth="1"/>
    <col min="5372" max="5372" width="3.33203125" style="21" customWidth="1"/>
    <col min="5373" max="5373" width="9" style="21" customWidth="1"/>
    <col min="5374" max="5374" width="1" style="21" customWidth="1"/>
    <col min="5375" max="5375" width="9.33203125" style="21" customWidth="1"/>
    <col min="5376" max="5376" width="4.44140625" style="21" customWidth="1"/>
    <col min="5377" max="5377" width="13.88671875" style="21" customWidth="1"/>
    <col min="5378" max="5617" width="9.109375" style="21"/>
    <col min="5618" max="5618" width="1.88671875" style="21" customWidth="1"/>
    <col min="5619" max="5619" width="2.6640625" style="21" customWidth="1"/>
    <col min="5620" max="5620" width="17.6640625" style="21" customWidth="1"/>
    <col min="5621" max="5621" width="3.109375" style="21" customWidth="1"/>
    <col min="5622" max="5622" width="9.5546875" style="21" customWidth="1"/>
    <col min="5623" max="5623" width="10.5546875" style="21" customWidth="1"/>
    <col min="5624" max="5624" width="10.88671875" style="21" customWidth="1"/>
    <col min="5625" max="5626" width="9.109375" style="21"/>
    <col min="5627" max="5627" width="23.5546875" style="21" customWidth="1"/>
    <col min="5628" max="5628" width="3.33203125" style="21" customWidth="1"/>
    <col min="5629" max="5629" width="9" style="21" customWidth="1"/>
    <col min="5630" max="5630" width="1" style="21" customWidth="1"/>
    <col min="5631" max="5631" width="9.33203125" style="21" customWidth="1"/>
    <col min="5632" max="5632" width="4.44140625" style="21" customWidth="1"/>
    <col min="5633" max="5633" width="13.88671875" style="21" customWidth="1"/>
    <col min="5634" max="5873" width="9.109375" style="21"/>
    <col min="5874" max="5874" width="1.88671875" style="21" customWidth="1"/>
    <col min="5875" max="5875" width="2.6640625" style="21" customWidth="1"/>
    <col min="5876" max="5876" width="17.6640625" style="21" customWidth="1"/>
    <col min="5877" max="5877" width="3.109375" style="21" customWidth="1"/>
    <col min="5878" max="5878" width="9.5546875" style="21" customWidth="1"/>
    <col min="5879" max="5879" width="10.5546875" style="21" customWidth="1"/>
    <col min="5880" max="5880" width="10.88671875" style="21" customWidth="1"/>
    <col min="5881" max="5882" width="9.109375" style="21"/>
    <col min="5883" max="5883" width="23.5546875" style="21" customWidth="1"/>
    <col min="5884" max="5884" width="3.33203125" style="21" customWidth="1"/>
    <col min="5885" max="5885" width="9" style="21" customWidth="1"/>
    <col min="5886" max="5886" width="1" style="21" customWidth="1"/>
    <col min="5887" max="5887" width="9.33203125" style="21" customWidth="1"/>
    <col min="5888" max="5888" width="4.44140625" style="21" customWidth="1"/>
    <col min="5889" max="5889" width="13.88671875" style="21" customWidth="1"/>
    <col min="5890" max="6129" width="9.109375" style="21"/>
    <col min="6130" max="6130" width="1.88671875" style="21" customWidth="1"/>
    <col min="6131" max="6131" width="2.6640625" style="21" customWidth="1"/>
    <col min="6132" max="6132" width="17.6640625" style="21" customWidth="1"/>
    <col min="6133" max="6133" width="3.109375" style="21" customWidth="1"/>
    <col min="6134" max="6134" width="9.5546875" style="21" customWidth="1"/>
    <col min="6135" max="6135" width="10.5546875" style="21" customWidth="1"/>
    <col min="6136" max="6136" width="10.88671875" style="21" customWidth="1"/>
    <col min="6137" max="6138" width="9.109375" style="21"/>
    <col min="6139" max="6139" width="23.5546875" style="21" customWidth="1"/>
    <col min="6140" max="6140" width="3.33203125" style="21" customWidth="1"/>
    <col min="6141" max="6141" width="9" style="21" customWidth="1"/>
    <col min="6142" max="6142" width="1" style="21" customWidth="1"/>
    <col min="6143" max="6143" width="9.33203125" style="21" customWidth="1"/>
    <col min="6144" max="6144" width="4.44140625" style="21" customWidth="1"/>
    <col min="6145" max="6145" width="13.88671875" style="21" customWidth="1"/>
    <col min="6146" max="6385" width="9.109375" style="21"/>
    <col min="6386" max="6386" width="1.88671875" style="21" customWidth="1"/>
    <col min="6387" max="6387" width="2.6640625" style="21" customWidth="1"/>
    <col min="6388" max="6388" width="17.6640625" style="21" customWidth="1"/>
    <col min="6389" max="6389" width="3.109375" style="21" customWidth="1"/>
    <col min="6390" max="6390" width="9.5546875" style="21" customWidth="1"/>
    <col min="6391" max="6391" width="10.5546875" style="21" customWidth="1"/>
    <col min="6392" max="6392" width="10.88671875" style="21" customWidth="1"/>
    <col min="6393" max="6394" width="9.109375" style="21"/>
    <col min="6395" max="6395" width="23.5546875" style="21" customWidth="1"/>
    <col min="6396" max="6396" width="3.33203125" style="21" customWidth="1"/>
    <col min="6397" max="6397" width="9" style="21" customWidth="1"/>
    <col min="6398" max="6398" width="1" style="21" customWidth="1"/>
    <col min="6399" max="6399" width="9.33203125" style="21" customWidth="1"/>
    <col min="6400" max="6400" width="4.44140625" style="21" customWidth="1"/>
    <col min="6401" max="6401" width="13.88671875" style="21" customWidth="1"/>
    <col min="6402" max="6641" width="9.109375" style="21"/>
    <col min="6642" max="6642" width="1.88671875" style="21" customWidth="1"/>
    <col min="6643" max="6643" width="2.6640625" style="21" customWidth="1"/>
    <col min="6644" max="6644" width="17.6640625" style="21" customWidth="1"/>
    <col min="6645" max="6645" width="3.109375" style="21" customWidth="1"/>
    <col min="6646" max="6646" width="9.5546875" style="21" customWidth="1"/>
    <col min="6647" max="6647" width="10.5546875" style="21" customWidth="1"/>
    <col min="6648" max="6648" width="10.88671875" style="21" customWidth="1"/>
    <col min="6649" max="6650" width="9.109375" style="21"/>
    <col min="6651" max="6651" width="23.5546875" style="21" customWidth="1"/>
    <col min="6652" max="6652" width="3.33203125" style="21" customWidth="1"/>
    <col min="6653" max="6653" width="9" style="21" customWidth="1"/>
    <col min="6654" max="6654" width="1" style="21" customWidth="1"/>
    <col min="6655" max="6655" width="9.33203125" style="21" customWidth="1"/>
    <col min="6656" max="6656" width="4.44140625" style="21" customWidth="1"/>
    <col min="6657" max="6657" width="13.88671875" style="21" customWidth="1"/>
    <col min="6658" max="6897" width="9.109375" style="21"/>
    <col min="6898" max="6898" width="1.88671875" style="21" customWidth="1"/>
    <col min="6899" max="6899" width="2.6640625" style="21" customWidth="1"/>
    <col min="6900" max="6900" width="17.6640625" style="21" customWidth="1"/>
    <col min="6901" max="6901" width="3.109375" style="21" customWidth="1"/>
    <col min="6902" max="6902" width="9.5546875" style="21" customWidth="1"/>
    <col min="6903" max="6903" width="10.5546875" style="21" customWidth="1"/>
    <col min="6904" max="6904" width="10.88671875" style="21" customWidth="1"/>
    <col min="6905" max="6906" width="9.109375" style="21"/>
    <col min="6907" max="6907" width="23.5546875" style="21" customWidth="1"/>
    <col min="6908" max="6908" width="3.33203125" style="21" customWidth="1"/>
    <col min="6909" max="6909" width="9" style="21" customWidth="1"/>
    <col min="6910" max="6910" width="1" style="21" customWidth="1"/>
    <col min="6911" max="6911" width="9.33203125" style="21" customWidth="1"/>
    <col min="6912" max="6912" width="4.44140625" style="21" customWidth="1"/>
    <col min="6913" max="6913" width="13.88671875" style="21" customWidth="1"/>
    <col min="6914" max="7153" width="9.109375" style="21"/>
    <col min="7154" max="7154" width="1.88671875" style="21" customWidth="1"/>
    <col min="7155" max="7155" width="2.6640625" style="21" customWidth="1"/>
    <col min="7156" max="7156" width="17.6640625" style="21" customWidth="1"/>
    <col min="7157" max="7157" width="3.109375" style="21" customWidth="1"/>
    <col min="7158" max="7158" width="9.5546875" style="21" customWidth="1"/>
    <col min="7159" max="7159" width="10.5546875" style="21" customWidth="1"/>
    <col min="7160" max="7160" width="10.88671875" style="21" customWidth="1"/>
    <col min="7161" max="7162" width="9.109375" style="21"/>
    <col min="7163" max="7163" width="23.5546875" style="21" customWidth="1"/>
    <col min="7164" max="7164" width="3.33203125" style="21" customWidth="1"/>
    <col min="7165" max="7165" width="9" style="21" customWidth="1"/>
    <col min="7166" max="7166" width="1" style="21" customWidth="1"/>
    <col min="7167" max="7167" width="9.33203125" style="21" customWidth="1"/>
    <col min="7168" max="7168" width="4.44140625" style="21" customWidth="1"/>
    <col min="7169" max="7169" width="13.88671875" style="21" customWidth="1"/>
    <col min="7170" max="7409" width="9.109375" style="21"/>
    <col min="7410" max="7410" width="1.88671875" style="21" customWidth="1"/>
    <col min="7411" max="7411" width="2.6640625" style="21" customWidth="1"/>
    <col min="7412" max="7412" width="17.6640625" style="21" customWidth="1"/>
    <col min="7413" max="7413" width="3.109375" style="21" customWidth="1"/>
    <col min="7414" max="7414" width="9.5546875" style="21" customWidth="1"/>
    <col min="7415" max="7415" width="10.5546875" style="21" customWidth="1"/>
    <col min="7416" max="7416" width="10.88671875" style="21" customWidth="1"/>
    <col min="7417" max="7418" width="9.109375" style="21"/>
    <col min="7419" max="7419" width="23.5546875" style="21" customWidth="1"/>
    <col min="7420" max="7420" width="3.33203125" style="21" customWidth="1"/>
    <col min="7421" max="7421" width="9" style="21" customWidth="1"/>
    <col min="7422" max="7422" width="1" style="21" customWidth="1"/>
    <col min="7423" max="7423" width="9.33203125" style="21" customWidth="1"/>
    <col min="7424" max="7424" width="4.44140625" style="21" customWidth="1"/>
    <col min="7425" max="7425" width="13.88671875" style="21" customWidth="1"/>
    <col min="7426" max="7665" width="9.109375" style="21"/>
    <col min="7666" max="7666" width="1.88671875" style="21" customWidth="1"/>
    <col min="7667" max="7667" width="2.6640625" style="21" customWidth="1"/>
    <col min="7668" max="7668" width="17.6640625" style="21" customWidth="1"/>
    <col min="7669" max="7669" width="3.109375" style="21" customWidth="1"/>
    <col min="7670" max="7670" width="9.5546875" style="21" customWidth="1"/>
    <col min="7671" max="7671" width="10.5546875" style="21" customWidth="1"/>
    <col min="7672" max="7672" width="10.88671875" style="21" customWidth="1"/>
    <col min="7673" max="7674" width="9.109375" style="21"/>
    <col min="7675" max="7675" width="23.5546875" style="21" customWidth="1"/>
    <col min="7676" max="7676" width="3.33203125" style="21" customWidth="1"/>
    <col min="7677" max="7677" width="9" style="21" customWidth="1"/>
    <col min="7678" max="7678" width="1" style="21" customWidth="1"/>
    <col min="7679" max="7679" width="9.33203125" style="21" customWidth="1"/>
    <col min="7680" max="7680" width="4.44140625" style="21" customWidth="1"/>
    <col min="7681" max="7681" width="13.88671875" style="21" customWidth="1"/>
    <col min="7682" max="7921" width="9.109375" style="21"/>
    <col min="7922" max="7922" width="1.88671875" style="21" customWidth="1"/>
    <col min="7923" max="7923" width="2.6640625" style="21" customWidth="1"/>
    <col min="7924" max="7924" width="17.6640625" style="21" customWidth="1"/>
    <col min="7925" max="7925" width="3.109375" style="21" customWidth="1"/>
    <col min="7926" max="7926" width="9.5546875" style="21" customWidth="1"/>
    <col min="7927" max="7927" width="10.5546875" style="21" customWidth="1"/>
    <col min="7928" max="7928" width="10.88671875" style="21" customWidth="1"/>
    <col min="7929" max="7930" width="9.109375" style="21"/>
    <col min="7931" max="7931" width="23.5546875" style="21" customWidth="1"/>
    <col min="7932" max="7932" width="3.33203125" style="21" customWidth="1"/>
    <col min="7933" max="7933" width="9" style="21" customWidth="1"/>
    <col min="7934" max="7934" width="1" style="21" customWidth="1"/>
    <col min="7935" max="7935" width="9.33203125" style="21" customWidth="1"/>
    <col min="7936" max="7936" width="4.44140625" style="21" customWidth="1"/>
    <col min="7937" max="7937" width="13.88671875" style="21" customWidth="1"/>
    <col min="7938" max="8177" width="9.109375" style="21"/>
    <col min="8178" max="8178" width="1.88671875" style="21" customWidth="1"/>
    <col min="8179" max="8179" width="2.6640625" style="21" customWidth="1"/>
    <col min="8180" max="8180" width="17.6640625" style="21" customWidth="1"/>
    <col min="8181" max="8181" width="3.109375" style="21" customWidth="1"/>
    <col min="8182" max="8182" width="9.5546875" style="21" customWidth="1"/>
    <col min="8183" max="8183" width="10.5546875" style="21" customWidth="1"/>
    <col min="8184" max="8184" width="10.88671875" style="21" customWidth="1"/>
    <col min="8185" max="8186" width="9.109375" style="21"/>
    <col min="8187" max="8187" width="23.5546875" style="21" customWidth="1"/>
    <col min="8188" max="8188" width="3.33203125" style="21" customWidth="1"/>
    <col min="8189" max="8189" width="9" style="21" customWidth="1"/>
    <col min="8190" max="8190" width="1" style="21" customWidth="1"/>
    <col min="8191" max="8191" width="9.33203125" style="21" customWidth="1"/>
    <col min="8192" max="8192" width="4.44140625" style="21" customWidth="1"/>
    <col min="8193" max="8193" width="13.88671875" style="21" customWidth="1"/>
    <col min="8194" max="8433" width="9.109375" style="21"/>
    <col min="8434" max="8434" width="1.88671875" style="21" customWidth="1"/>
    <col min="8435" max="8435" width="2.6640625" style="21" customWidth="1"/>
    <col min="8436" max="8436" width="17.6640625" style="21" customWidth="1"/>
    <col min="8437" max="8437" width="3.109375" style="21" customWidth="1"/>
    <col min="8438" max="8438" width="9.5546875" style="21" customWidth="1"/>
    <col min="8439" max="8439" width="10.5546875" style="21" customWidth="1"/>
    <col min="8440" max="8440" width="10.88671875" style="21" customWidth="1"/>
    <col min="8441" max="8442" width="9.109375" style="21"/>
    <col min="8443" max="8443" width="23.5546875" style="21" customWidth="1"/>
    <col min="8444" max="8444" width="3.33203125" style="21" customWidth="1"/>
    <col min="8445" max="8445" width="9" style="21" customWidth="1"/>
    <col min="8446" max="8446" width="1" style="21" customWidth="1"/>
    <col min="8447" max="8447" width="9.33203125" style="21" customWidth="1"/>
    <col min="8448" max="8448" width="4.44140625" style="21" customWidth="1"/>
    <col min="8449" max="8449" width="13.88671875" style="21" customWidth="1"/>
    <col min="8450" max="8689" width="9.109375" style="21"/>
    <col min="8690" max="8690" width="1.88671875" style="21" customWidth="1"/>
    <col min="8691" max="8691" width="2.6640625" style="21" customWidth="1"/>
    <col min="8692" max="8692" width="17.6640625" style="21" customWidth="1"/>
    <col min="8693" max="8693" width="3.109375" style="21" customWidth="1"/>
    <col min="8694" max="8694" width="9.5546875" style="21" customWidth="1"/>
    <col min="8695" max="8695" width="10.5546875" style="21" customWidth="1"/>
    <col min="8696" max="8696" width="10.88671875" style="21" customWidth="1"/>
    <col min="8697" max="8698" width="9.109375" style="21"/>
    <col min="8699" max="8699" width="23.5546875" style="21" customWidth="1"/>
    <col min="8700" max="8700" width="3.33203125" style="21" customWidth="1"/>
    <col min="8701" max="8701" width="9" style="21" customWidth="1"/>
    <col min="8702" max="8702" width="1" style="21" customWidth="1"/>
    <col min="8703" max="8703" width="9.33203125" style="21" customWidth="1"/>
    <col min="8704" max="8704" width="4.44140625" style="21" customWidth="1"/>
    <col min="8705" max="8705" width="13.88671875" style="21" customWidth="1"/>
    <col min="8706" max="8945" width="9.109375" style="21"/>
    <col min="8946" max="8946" width="1.88671875" style="21" customWidth="1"/>
    <col min="8947" max="8947" width="2.6640625" style="21" customWidth="1"/>
    <col min="8948" max="8948" width="17.6640625" style="21" customWidth="1"/>
    <col min="8949" max="8949" width="3.109375" style="21" customWidth="1"/>
    <col min="8950" max="8950" width="9.5546875" style="21" customWidth="1"/>
    <col min="8951" max="8951" width="10.5546875" style="21" customWidth="1"/>
    <col min="8952" max="8952" width="10.88671875" style="21" customWidth="1"/>
    <col min="8953" max="8954" width="9.109375" style="21"/>
    <col min="8955" max="8955" width="23.5546875" style="21" customWidth="1"/>
    <col min="8956" max="8956" width="3.33203125" style="21" customWidth="1"/>
    <col min="8957" max="8957" width="9" style="21" customWidth="1"/>
    <col min="8958" max="8958" width="1" style="21" customWidth="1"/>
    <col min="8959" max="8959" width="9.33203125" style="21" customWidth="1"/>
    <col min="8960" max="8960" width="4.44140625" style="21" customWidth="1"/>
    <col min="8961" max="8961" width="13.88671875" style="21" customWidth="1"/>
    <col min="8962" max="9201" width="9.109375" style="21"/>
    <col min="9202" max="9202" width="1.88671875" style="21" customWidth="1"/>
    <col min="9203" max="9203" width="2.6640625" style="21" customWidth="1"/>
    <col min="9204" max="9204" width="17.6640625" style="21" customWidth="1"/>
    <col min="9205" max="9205" width="3.109375" style="21" customWidth="1"/>
    <col min="9206" max="9206" width="9.5546875" style="21" customWidth="1"/>
    <col min="9207" max="9207" width="10.5546875" style="21" customWidth="1"/>
    <col min="9208" max="9208" width="10.88671875" style="21" customWidth="1"/>
    <col min="9209" max="9210" width="9.109375" style="21"/>
    <col min="9211" max="9211" width="23.5546875" style="21" customWidth="1"/>
    <col min="9212" max="9212" width="3.33203125" style="21" customWidth="1"/>
    <col min="9213" max="9213" width="9" style="21" customWidth="1"/>
    <col min="9214" max="9214" width="1" style="21" customWidth="1"/>
    <col min="9215" max="9215" width="9.33203125" style="21" customWidth="1"/>
    <col min="9216" max="9216" width="4.44140625" style="21" customWidth="1"/>
    <col min="9217" max="9217" width="13.88671875" style="21" customWidth="1"/>
    <col min="9218" max="9457" width="9.109375" style="21"/>
    <col min="9458" max="9458" width="1.88671875" style="21" customWidth="1"/>
    <col min="9459" max="9459" width="2.6640625" style="21" customWidth="1"/>
    <col min="9460" max="9460" width="17.6640625" style="21" customWidth="1"/>
    <col min="9461" max="9461" width="3.109375" style="21" customWidth="1"/>
    <col min="9462" max="9462" width="9.5546875" style="21" customWidth="1"/>
    <col min="9463" max="9463" width="10.5546875" style="21" customWidth="1"/>
    <col min="9464" max="9464" width="10.88671875" style="21" customWidth="1"/>
    <col min="9465" max="9466" width="9.109375" style="21"/>
    <col min="9467" max="9467" width="23.5546875" style="21" customWidth="1"/>
    <col min="9468" max="9468" width="3.33203125" style="21" customWidth="1"/>
    <col min="9469" max="9469" width="9" style="21" customWidth="1"/>
    <col min="9470" max="9470" width="1" style="21" customWidth="1"/>
    <col min="9471" max="9471" width="9.33203125" style="21" customWidth="1"/>
    <col min="9472" max="9472" width="4.44140625" style="21" customWidth="1"/>
    <col min="9473" max="9473" width="13.88671875" style="21" customWidth="1"/>
    <col min="9474" max="9713" width="9.109375" style="21"/>
    <col min="9714" max="9714" width="1.88671875" style="21" customWidth="1"/>
    <col min="9715" max="9715" width="2.6640625" style="21" customWidth="1"/>
    <col min="9716" max="9716" width="17.6640625" style="21" customWidth="1"/>
    <col min="9717" max="9717" width="3.109375" style="21" customWidth="1"/>
    <col min="9718" max="9718" width="9.5546875" style="21" customWidth="1"/>
    <col min="9719" max="9719" width="10.5546875" style="21" customWidth="1"/>
    <col min="9720" max="9720" width="10.88671875" style="21" customWidth="1"/>
    <col min="9721" max="9722" width="9.109375" style="21"/>
    <col min="9723" max="9723" width="23.5546875" style="21" customWidth="1"/>
    <col min="9724" max="9724" width="3.33203125" style="21" customWidth="1"/>
    <col min="9725" max="9725" width="9" style="21" customWidth="1"/>
    <col min="9726" max="9726" width="1" style="21" customWidth="1"/>
    <col min="9727" max="9727" width="9.33203125" style="21" customWidth="1"/>
    <col min="9728" max="9728" width="4.44140625" style="21" customWidth="1"/>
    <col min="9729" max="9729" width="13.88671875" style="21" customWidth="1"/>
    <col min="9730" max="9969" width="9.109375" style="21"/>
    <col min="9970" max="9970" width="1.88671875" style="21" customWidth="1"/>
    <col min="9971" max="9971" width="2.6640625" style="21" customWidth="1"/>
    <col min="9972" max="9972" width="17.6640625" style="21" customWidth="1"/>
    <col min="9973" max="9973" width="3.109375" style="21" customWidth="1"/>
    <col min="9974" max="9974" width="9.5546875" style="21" customWidth="1"/>
    <col min="9975" max="9975" width="10.5546875" style="21" customWidth="1"/>
    <col min="9976" max="9976" width="10.88671875" style="21" customWidth="1"/>
    <col min="9977" max="9978" width="9.109375" style="21"/>
    <col min="9979" max="9979" width="23.5546875" style="21" customWidth="1"/>
    <col min="9980" max="9980" width="3.33203125" style="21" customWidth="1"/>
    <col min="9981" max="9981" width="9" style="21" customWidth="1"/>
    <col min="9982" max="9982" width="1" style="21" customWidth="1"/>
    <col min="9983" max="9983" width="9.33203125" style="21" customWidth="1"/>
    <col min="9984" max="9984" width="4.44140625" style="21" customWidth="1"/>
    <col min="9985" max="9985" width="13.88671875" style="21" customWidth="1"/>
    <col min="9986" max="10225" width="9.109375" style="21"/>
    <col min="10226" max="10226" width="1.88671875" style="21" customWidth="1"/>
    <col min="10227" max="10227" width="2.6640625" style="21" customWidth="1"/>
    <col min="10228" max="10228" width="17.6640625" style="21" customWidth="1"/>
    <col min="10229" max="10229" width="3.109375" style="21" customWidth="1"/>
    <col min="10230" max="10230" width="9.5546875" style="21" customWidth="1"/>
    <col min="10231" max="10231" width="10.5546875" style="21" customWidth="1"/>
    <col min="10232" max="10232" width="10.88671875" style="21" customWidth="1"/>
    <col min="10233" max="10234" width="9.109375" style="21"/>
    <col min="10235" max="10235" width="23.5546875" style="21" customWidth="1"/>
    <col min="10236" max="10236" width="3.33203125" style="21" customWidth="1"/>
    <col min="10237" max="10237" width="9" style="21" customWidth="1"/>
    <col min="10238" max="10238" width="1" style="21" customWidth="1"/>
    <col min="10239" max="10239" width="9.33203125" style="21" customWidth="1"/>
    <col min="10240" max="10240" width="4.44140625" style="21" customWidth="1"/>
    <col min="10241" max="10241" width="13.88671875" style="21" customWidth="1"/>
    <col min="10242" max="10481" width="9.109375" style="21"/>
    <col min="10482" max="10482" width="1.88671875" style="21" customWidth="1"/>
    <col min="10483" max="10483" width="2.6640625" style="21" customWidth="1"/>
    <col min="10484" max="10484" width="17.6640625" style="21" customWidth="1"/>
    <col min="10485" max="10485" width="3.109375" style="21" customWidth="1"/>
    <col min="10486" max="10486" width="9.5546875" style="21" customWidth="1"/>
    <col min="10487" max="10487" width="10.5546875" style="21" customWidth="1"/>
    <col min="10488" max="10488" width="10.88671875" style="21" customWidth="1"/>
    <col min="10489" max="10490" width="9.109375" style="21"/>
    <col min="10491" max="10491" width="23.5546875" style="21" customWidth="1"/>
    <col min="10492" max="10492" width="3.33203125" style="21" customWidth="1"/>
    <col min="10493" max="10493" width="9" style="21" customWidth="1"/>
    <col min="10494" max="10494" width="1" style="21" customWidth="1"/>
    <col min="10495" max="10495" width="9.33203125" style="21" customWidth="1"/>
    <col min="10496" max="10496" width="4.44140625" style="21" customWidth="1"/>
    <col min="10497" max="10497" width="13.88671875" style="21" customWidth="1"/>
    <col min="10498" max="10737" width="9.109375" style="21"/>
    <col min="10738" max="10738" width="1.88671875" style="21" customWidth="1"/>
    <col min="10739" max="10739" width="2.6640625" style="21" customWidth="1"/>
    <col min="10740" max="10740" width="17.6640625" style="21" customWidth="1"/>
    <col min="10741" max="10741" width="3.109375" style="21" customWidth="1"/>
    <col min="10742" max="10742" width="9.5546875" style="21" customWidth="1"/>
    <col min="10743" max="10743" width="10.5546875" style="21" customWidth="1"/>
    <col min="10744" max="10744" width="10.88671875" style="21" customWidth="1"/>
    <col min="10745" max="10746" width="9.109375" style="21"/>
    <col min="10747" max="10747" width="23.5546875" style="21" customWidth="1"/>
    <col min="10748" max="10748" width="3.33203125" style="21" customWidth="1"/>
    <col min="10749" max="10749" width="9" style="21" customWidth="1"/>
    <col min="10750" max="10750" width="1" style="21" customWidth="1"/>
    <col min="10751" max="10751" width="9.33203125" style="21" customWidth="1"/>
    <col min="10752" max="10752" width="4.44140625" style="21" customWidth="1"/>
    <col min="10753" max="10753" width="13.88671875" style="21" customWidth="1"/>
    <col min="10754" max="10993" width="9.109375" style="21"/>
    <col min="10994" max="10994" width="1.88671875" style="21" customWidth="1"/>
    <col min="10995" max="10995" width="2.6640625" style="21" customWidth="1"/>
    <col min="10996" max="10996" width="17.6640625" style="21" customWidth="1"/>
    <col min="10997" max="10997" width="3.109375" style="21" customWidth="1"/>
    <col min="10998" max="10998" width="9.5546875" style="21" customWidth="1"/>
    <col min="10999" max="10999" width="10.5546875" style="21" customWidth="1"/>
    <col min="11000" max="11000" width="10.88671875" style="21" customWidth="1"/>
    <col min="11001" max="11002" width="9.109375" style="21"/>
    <col min="11003" max="11003" width="23.5546875" style="21" customWidth="1"/>
    <col min="11004" max="11004" width="3.33203125" style="21" customWidth="1"/>
    <col min="11005" max="11005" width="9" style="21" customWidth="1"/>
    <col min="11006" max="11006" width="1" style="21" customWidth="1"/>
    <col min="11007" max="11007" width="9.33203125" style="21" customWidth="1"/>
    <col min="11008" max="11008" width="4.44140625" style="21" customWidth="1"/>
    <col min="11009" max="11009" width="13.88671875" style="21" customWidth="1"/>
    <col min="11010" max="11249" width="9.109375" style="21"/>
    <col min="11250" max="11250" width="1.88671875" style="21" customWidth="1"/>
    <col min="11251" max="11251" width="2.6640625" style="21" customWidth="1"/>
    <col min="11252" max="11252" width="17.6640625" style="21" customWidth="1"/>
    <col min="11253" max="11253" width="3.109375" style="21" customWidth="1"/>
    <col min="11254" max="11254" width="9.5546875" style="21" customWidth="1"/>
    <col min="11255" max="11255" width="10.5546875" style="21" customWidth="1"/>
    <col min="11256" max="11256" width="10.88671875" style="21" customWidth="1"/>
    <col min="11257" max="11258" width="9.109375" style="21"/>
    <col min="11259" max="11259" width="23.5546875" style="21" customWidth="1"/>
    <col min="11260" max="11260" width="3.33203125" style="21" customWidth="1"/>
    <col min="11261" max="11261" width="9" style="21" customWidth="1"/>
    <col min="11262" max="11262" width="1" style="21" customWidth="1"/>
    <col min="11263" max="11263" width="9.33203125" style="21" customWidth="1"/>
    <col min="11264" max="11264" width="4.44140625" style="21" customWidth="1"/>
    <col min="11265" max="11265" width="13.88671875" style="21" customWidth="1"/>
    <col min="11266" max="11505" width="9.109375" style="21"/>
    <col min="11506" max="11506" width="1.88671875" style="21" customWidth="1"/>
    <col min="11507" max="11507" width="2.6640625" style="21" customWidth="1"/>
    <col min="11508" max="11508" width="17.6640625" style="21" customWidth="1"/>
    <col min="11509" max="11509" width="3.109375" style="21" customWidth="1"/>
    <col min="11510" max="11510" width="9.5546875" style="21" customWidth="1"/>
    <col min="11511" max="11511" width="10.5546875" style="21" customWidth="1"/>
    <col min="11512" max="11512" width="10.88671875" style="21" customWidth="1"/>
    <col min="11513" max="11514" width="9.109375" style="21"/>
    <col min="11515" max="11515" width="23.5546875" style="21" customWidth="1"/>
    <col min="11516" max="11516" width="3.33203125" style="21" customWidth="1"/>
    <col min="11517" max="11517" width="9" style="21" customWidth="1"/>
    <col min="11518" max="11518" width="1" style="21" customWidth="1"/>
    <col min="11519" max="11519" width="9.33203125" style="21" customWidth="1"/>
    <col min="11520" max="11520" width="4.44140625" style="21" customWidth="1"/>
    <col min="11521" max="11521" width="13.88671875" style="21" customWidth="1"/>
    <col min="11522" max="11761" width="9.109375" style="21"/>
    <col min="11762" max="11762" width="1.88671875" style="21" customWidth="1"/>
    <col min="11763" max="11763" width="2.6640625" style="21" customWidth="1"/>
    <col min="11764" max="11764" width="17.6640625" style="21" customWidth="1"/>
    <col min="11765" max="11765" width="3.109375" style="21" customWidth="1"/>
    <col min="11766" max="11766" width="9.5546875" style="21" customWidth="1"/>
    <col min="11767" max="11767" width="10.5546875" style="21" customWidth="1"/>
    <col min="11768" max="11768" width="10.88671875" style="21" customWidth="1"/>
    <col min="11769" max="11770" width="9.109375" style="21"/>
    <col min="11771" max="11771" width="23.5546875" style="21" customWidth="1"/>
    <col min="11772" max="11772" width="3.33203125" style="21" customWidth="1"/>
    <col min="11773" max="11773" width="9" style="21" customWidth="1"/>
    <col min="11774" max="11774" width="1" style="21" customWidth="1"/>
    <col min="11775" max="11775" width="9.33203125" style="21" customWidth="1"/>
    <col min="11776" max="11776" width="4.44140625" style="21" customWidth="1"/>
    <col min="11777" max="11777" width="13.88671875" style="21" customWidth="1"/>
    <col min="11778" max="12017" width="9.109375" style="21"/>
    <col min="12018" max="12018" width="1.88671875" style="21" customWidth="1"/>
    <col min="12019" max="12019" width="2.6640625" style="21" customWidth="1"/>
    <col min="12020" max="12020" width="17.6640625" style="21" customWidth="1"/>
    <col min="12021" max="12021" width="3.109375" style="21" customWidth="1"/>
    <col min="12022" max="12022" width="9.5546875" style="21" customWidth="1"/>
    <col min="12023" max="12023" width="10.5546875" style="21" customWidth="1"/>
    <col min="12024" max="12024" width="10.88671875" style="21" customWidth="1"/>
    <col min="12025" max="12026" width="9.109375" style="21"/>
    <col min="12027" max="12027" width="23.5546875" style="21" customWidth="1"/>
    <col min="12028" max="12028" width="3.33203125" style="21" customWidth="1"/>
    <col min="12029" max="12029" width="9" style="21" customWidth="1"/>
    <col min="12030" max="12030" width="1" style="21" customWidth="1"/>
    <col min="12031" max="12031" width="9.33203125" style="21" customWidth="1"/>
    <col min="12032" max="12032" width="4.44140625" style="21" customWidth="1"/>
    <col min="12033" max="12033" width="13.88671875" style="21" customWidth="1"/>
    <col min="12034" max="12273" width="9.109375" style="21"/>
    <col min="12274" max="12274" width="1.88671875" style="21" customWidth="1"/>
    <col min="12275" max="12275" width="2.6640625" style="21" customWidth="1"/>
    <col min="12276" max="12276" width="17.6640625" style="21" customWidth="1"/>
    <col min="12277" max="12277" width="3.109375" style="21" customWidth="1"/>
    <col min="12278" max="12278" width="9.5546875" style="21" customWidth="1"/>
    <col min="12279" max="12279" width="10.5546875" style="21" customWidth="1"/>
    <col min="12280" max="12280" width="10.88671875" style="21" customWidth="1"/>
    <col min="12281" max="12282" width="9.109375" style="21"/>
    <col min="12283" max="12283" width="23.5546875" style="21" customWidth="1"/>
    <col min="12284" max="12284" width="3.33203125" style="21" customWidth="1"/>
    <col min="12285" max="12285" width="9" style="21" customWidth="1"/>
    <col min="12286" max="12286" width="1" style="21" customWidth="1"/>
    <col min="12287" max="12287" width="9.33203125" style="21" customWidth="1"/>
    <col min="12288" max="12288" width="4.44140625" style="21" customWidth="1"/>
    <col min="12289" max="12289" width="13.88671875" style="21" customWidth="1"/>
    <col min="12290" max="12529" width="9.109375" style="21"/>
    <col min="12530" max="12530" width="1.88671875" style="21" customWidth="1"/>
    <col min="12531" max="12531" width="2.6640625" style="21" customWidth="1"/>
    <col min="12532" max="12532" width="17.6640625" style="21" customWidth="1"/>
    <col min="12533" max="12533" width="3.109375" style="21" customWidth="1"/>
    <col min="12534" max="12534" width="9.5546875" style="21" customWidth="1"/>
    <col min="12535" max="12535" width="10.5546875" style="21" customWidth="1"/>
    <col min="12536" max="12536" width="10.88671875" style="21" customWidth="1"/>
    <col min="12537" max="12538" width="9.109375" style="21"/>
    <col min="12539" max="12539" width="23.5546875" style="21" customWidth="1"/>
    <col min="12540" max="12540" width="3.33203125" style="21" customWidth="1"/>
    <col min="12541" max="12541" width="9" style="21" customWidth="1"/>
    <col min="12542" max="12542" width="1" style="21" customWidth="1"/>
    <col min="12543" max="12543" width="9.33203125" style="21" customWidth="1"/>
    <col min="12544" max="12544" width="4.44140625" style="21" customWidth="1"/>
    <col min="12545" max="12545" width="13.88671875" style="21" customWidth="1"/>
    <col min="12546" max="12785" width="9.109375" style="21"/>
    <col min="12786" max="12786" width="1.88671875" style="21" customWidth="1"/>
    <col min="12787" max="12787" width="2.6640625" style="21" customWidth="1"/>
    <col min="12788" max="12788" width="17.6640625" style="21" customWidth="1"/>
    <col min="12789" max="12789" width="3.109375" style="21" customWidth="1"/>
    <col min="12790" max="12790" width="9.5546875" style="21" customWidth="1"/>
    <col min="12791" max="12791" width="10.5546875" style="21" customWidth="1"/>
    <col min="12792" max="12792" width="10.88671875" style="21" customWidth="1"/>
    <col min="12793" max="12794" width="9.109375" style="21"/>
    <col min="12795" max="12795" width="23.5546875" style="21" customWidth="1"/>
    <col min="12796" max="12796" width="3.33203125" style="21" customWidth="1"/>
    <col min="12797" max="12797" width="9" style="21" customWidth="1"/>
    <col min="12798" max="12798" width="1" style="21" customWidth="1"/>
    <col min="12799" max="12799" width="9.33203125" style="21" customWidth="1"/>
    <col min="12800" max="12800" width="4.44140625" style="21" customWidth="1"/>
    <col min="12801" max="12801" width="13.88671875" style="21" customWidth="1"/>
    <col min="12802" max="13041" width="9.109375" style="21"/>
    <col min="13042" max="13042" width="1.88671875" style="21" customWidth="1"/>
    <col min="13043" max="13043" width="2.6640625" style="21" customWidth="1"/>
    <col min="13044" max="13044" width="17.6640625" style="21" customWidth="1"/>
    <col min="13045" max="13045" width="3.109375" style="21" customWidth="1"/>
    <col min="13046" max="13046" width="9.5546875" style="21" customWidth="1"/>
    <col min="13047" max="13047" width="10.5546875" style="21" customWidth="1"/>
    <col min="13048" max="13048" width="10.88671875" style="21" customWidth="1"/>
    <col min="13049" max="13050" width="9.109375" style="21"/>
    <col min="13051" max="13051" width="23.5546875" style="21" customWidth="1"/>
    <col min="13052" max="13052" width="3.33203125" style="21" customWidth="1"/>
    <col min="13053" max="13053" width="9" style="21" customWidth="1"/>
    <col min="13054" max="13054" width="1" style="21" customWidth="1"/>
    <col min="13055" max="13055" width="9.33203125" style="21" customWidth="1"/>
    <col min="13056" max="13056" width="4.44140625" style="21" customWidth="1"/>
    <col min="13057" max="13057" width="13.88671875" style="21" customWidth="1"/>
    <col min="13058" max="13297" width="9.109375" style="21"/>
    <col min="13298" max="13298" width="1.88671875" style="21" customWidth="1"/>
    <col min="13299" max="13299" width="2.6640625" style="21" customWidth="1"/>
    <col min="13300" max="13300" width="17.6640625" style="21" customWidth="1"/>
    <col min="13301" max="13301" width="3.109375" style="21" customWidth="1"/>
    <col min="13302" max="13302" width="9.5546875" style="21" customWidth="1"/>
    <col min="13303" max="13303" width="10.5546875" style="21" customWidth="1"/>
    <col min="13304" max="13304" width="10.88671875" style="21" customWidth="1"/>
    <col min="13305" max="13306" width="9.109375" style="21"/>
    <col min="13307" max="13307" width="23.5546875" style="21" customWidth="1"/>
    <col min="13308" max="13308" width="3.33203125" style="21" customWidth="1"/>
    <col min="13309" max="13309" width="9" style="21" customWidth="1"/>
    <col min="13310" max="13310" width="1" style="21" customWidth="1"/>
    <col min="13311" max="13311" width="9.33203125" style="21" customWidth="1"/>
    <col min="13312" max="13312" width="4.44140625" style="21" customWidth="1"/>
    <col min="13313" max="13313" width="13.88671875" style="21" customWidth="1"/>
    <col min="13314" max="13553" width="9.109375" style="21"/>
    <col min="13554" max="13554" width="1.88671875" style="21" customWidth="1"/>
    <col min="13555" max="13555" width="2.6640625" style="21" customWidth="1"/>
    <col min="13556" max="13556" width="17.6640625" style="21" customWidth="1"/>
    <col min="13557" max="13557" width="3.109375" style="21" customWidth="1"/>
    <col min="13558" max="13558" width="9.5546875" style="21" customWidth="1"/>
    <col min="13559" max="13559" width="10.5546875" style="21" customWidth="1"/>
    <col min="13560" max="13560" width="10.88671875" style="21" customWidth="1"/>
    <col min="13561" max="13562" width="9.109375" style="21"/>
    <col min="13563" max="13563" width="23.5546875" style="21" customWidth="1"/>
    <col min="13564" max="13564" width="3.33203125" style="21" customWidth="1"/>
    <col min="13565" max="13565" width="9" style="21" customWidth="1"/>
    <col min="13566" max="13566" width="1" style="21" customWidth="1"/>
    <col min="13567" max="13567" width="9.33203125" style="21" customWidth="1"/>
    <col min="13568" max="13568" width="4.44140625" style="21" customWidth="1"/>
    <col min="13569" max="13569" width="13.88671875" style="21" customWidth="1"/>
    <col min="13570" max="13809" width="9.109375" style="21"/>
    <col min="13810" max="13810" width="1.88671875" style="21" customWidth="1"/>
    <col min="13811" max="13811" width="2.6640625" style="21" customWidth="1"/>
    <col min="13812" max="13812" width="17.6640625" style="21" customWidth="1"/>
    <col min="13813" max="13813" width="3.109375" style="21" customWidth="1"/>
    <col min="13814" max="13814" width="9.5546875" style="21" customWidth="1"/>
    <col min="13815" max="13815" width="10.5546875" style="21" customWidth="1"/>
    <col min="13816" max="13816" width="10.88671875" style="21" customWidth="1"/>
    <col min="13817" max="13818" width="9.109375" style="21"/>
    <col min="13819" max="13819" width="23.5546875" style="21" customWidth="1"/>
    <col min="13820" max="13820" width="3.33203125" style="21" customWidth="1"/>
    <col min="13821" max="13821" width="9" style="21" customWidth="1"/>
    <col min="13822" max="13822" width="1" style="21" customWidth="1"/>
    <col min="13823" max="13823" width="9.33203125" style="21" customWidth="1"/>
    <col min="13824" max="13824" width="4.44140625" style="21" customWidth="1"/>
    <col min="13825" max="13825" width="13.88671875" style="21" customWidth="1"/>
    <col min="13826" max="14065" width="9.109375" style="21"/>
    <col min="14066" max="14066" width="1.88671875" style="21" customWidth="1"/>
    <col min="14067" max="14067" width="2.6640625" style="21" customWidth="1"/>
    <col min="14068" max="14068" width="17.6640625" style="21" customWidth="1"/>
    <col min="14069" max="14069" width="3.109375" style="21" customWidth="1"/>
    <col min="14070" max="14070" width="9.5546875" style="21" customWidth="1"/>
    <col min="14071" max="14071" width="10.5546875" style="21" customWidth="1"/>
    <col min="14072" max="14072" width="10.88671875" style="21" customWidth="1"/>
    <col min="14073" max="14074" width="9.109375" style="21"/>
    <col min="14075" max="14075" width="23.5546875" style="21" customWidth="1"/>
    <col min="14076" max="14076" width="3.33203125" style="21" customWidth="1"/>
    <col min="14077" max="14077" width="9" style="21" customWidth="1"/>
    <col min="14078" max="14078" width="1" style="21" customWidth="1"/>
    <col min="14079" max="14079" width="9.33203125" style="21" customWidth="1"/>
    <col min="14080" max="14080" width="4.44140625" style="21" customWidth="1"/>
    <col min="14081" max="14081" width="13.88671875" style="21" customWidth="1"/>
    <col min="14082" max="14321" width="9.109375" style="21"/>
    <col min="14322" max="14322" width="1.88671875" style="21" customWidth="1"/>
    <col min="14323" max="14323" width="2.6640625" style="21" customWidth="1"/>
    <col min="14324" max="14324" width="17.6640625" style="21" customWidth="1"/>
    <col min="14325" max="14325" width="3.109375" style="21" customWidth="1"/>
    <col min="14326" max="14326" width="9.5546875" style="21" customWidth="1"/>
    <col min="14327" max="14327" width="10.5546875" style="21" customWidth="1"/>
    <col min="14328" max="14328" width="10.88671875" style="21" customWidth="1"/>
    <col min="14329" max="14330" width="9.109375" style="21"/>
    <col min="14331" max="14331" width="23.5546875" style="21" customWidth="1"/>
    <col min="14332" max="14332" width="3.33203125" style="21" customWidth="1"/>
    <col min="14333" max="14333" width="9" style="21" customWidth="1"/>
    <col min="14334" max="14334" width="1" style="21" customWidth="1"/>
    <col min="14335" max="14335" width="9.33203125" style="21" customWidth="1"/>
    <col min="14336" max="14336" width="4.44140625" style="21" customWidth="1"/>
    <col min="14337" max="14337" width="13.88671875" style="21" customWidth="1"/>
    <col min="14338" max="14577" width="9.109375" style="21"/>
    <col min="14578" max="14578" width="1.88671875" style="21" customWidth="1"/>
    <col min="14579" max="14579" width="2.6640625" style="21" customWidth="1"/>
    <col min="14580" max="14580" width="17.6640625" style="21" customWidth="1"/>
    <col min="14581" max="14581" width="3.109375" style="21" customWidth="1"/>
    <col min="14582" max="14582" width="9.5546875" style="21" customWidth="1"/>
    <col min="14583" max="14583" width="10.5546875" style="21" customWidth="1"/>
    <col min="14584" max="14584" width="10.88671875" style="21" customWidth="1"/>
    <col min="14585" max="14586" width="9.109375" style="21"/>
    <col min="14587" max="14587" width="23.5546875" style="21" customWidth="1"/>
    <col min="14588" max="14588" width="3.33203125" style="21" customWidth="1"/>
    <col min="14589" max="14589" width="9" style="21" customWidth="1"/>
    <col min="14590" max="14590" width="1" style="21" customWidth="1"/>
    <col min="14591" max="14591" width="9.33203125" style="21" customWidth="1"/>
    <col min="14592" max="14592" width="4.44140625" style="21" customWidth="1"/>
    <col min="14593" max="14593" width="13.88671875" style="21" customWidth="1"/>
    <col min="14594" max="14833" width="9.109375" style="21"/>
    <col min="14834" max="14834" width="1.88671875" style="21" customWidth="1"/>
    <col min="14835" max="14835" width="2.6640625" style="21" customWidth="1"/>
    <col min="14836" max="14836" width="17.6640625" style="21" customWidth="1"/>
    <col min="14837" max="14837" width="3.109375" style="21" customWidth="1"/>
    <col min="14838" max="14838" width="9.5546875" style="21" customWidth="1"/>
    <col min="14839" max="14839" width="10.5546875" style="21" customWidth="1"/>
    <col min="14840" max="14840" width="10.88671875" style="21" customWidth="1"/>
    <col min="14841" max="14842" width="9.109375" style="21"/>
    <col min="14843" max="14843" width="23.5546875" style="21" customWidth="1"/>
    <col min="14844" max="14844" width="3.33203125" style="21" customWidth="1"/>
    <col min="14845" max="14845" width="9" style="21" customWidth="1"/>
    <col min="14846" max="14846" width="1" style="21" customWidth="1"/>
    <col min="14847" max="14847" width="9.33203125" style="21" customWidth="1"/>
    <col min="14848" max="14848" width="4.44140625" style="21" customWidth="1"/>
    <col min="14849" max="14849" width="13.88671875" style="21" customWidth="1"/>
    <col min="14850" max="15089" width="9.109375" style="21"/>
    <col min="15090" max="15090" width="1.88671875" style="21" customWidth="1"/>
    <col min="15091" max="15091" width="2.6640625" style="21" customWidth="1"/>
    <col min="15092" max="15092" width="17.6640625" style="21" customWidth="1"/>
    <col min="15093" max="15093" width="3.109375" style="21" customWidth="1"/>
    <col min="15094" max="15094" width="9.5546875" style="21" customWidth="1"/>
    <col min="15095" max="15095" width="10.5546875" style="21" customWidth="1"/>
    <col min="15096" max="15096" width="10.88671875" style="21" customWidth="1"/>
    <col min="15097" max="15098" width="9.109375" style="21"/>
    <col min="15099" max="15099" width="23.5546875" style="21" customWidth="1"/>
    <col min="15100" max="15100" width="3.33203125" style="21" customWidth="1"/>
    <col min="15101" max="15101" width="9" style="21" customWidth="1"/>
    <col min="15102" max="15102" width="1" style="21" customWidth="1"/>
    <col min="15103" max="15103" width="9.33203125" style="21" customWidth="1"/>
    <col min="15104" max="15104" width="4.44140625" style="21" customWidth="1"/>
    <col min="15105" max="15105" width="13.88671875" style="21" customWidth="1"/>
    <col min="15106" max="15345" width="9.109375" style="21"/>
    <col min="15346" max="15346" width="1.88671875" style="21" customWidth="1"/>
    <col min="15347" max="15347" width="2.6640625" style="21" customWidth="1"/>
    <col min="15348" max="15348" width="17.6640625" style="21" customWidth="1"/>
    <col min="15349" max="15349" width="3.109375" style="21" customWidth="1"/>
    <col min="15350" max="15350" width="9.5546875" style="21" customWidth="1"/>
    <col min="15351" max="15351" width="10.5546875" style="21" customWidth="1"/>
    <col min="15352" max="15352" width="10.88671875" style="21" customWidth="1"/>
    <col min="15353" max="15354" width="9.109375" style="21"/>
    <col min="15355" max="15355" width="23.5546875" style="21" customWidth="1"/>
    <col min="15356" max="15356" width="3.33203125" style="21" customWidth="1"/>
    <col min="15357" max="15357" width="9" style="21" customWidth="1"/>
    <col min="15358" max="15358" width="1" style="21" customWidth="1"/>
    <col min="15359" max="15359" width="9.33203125" style="21" customWidth="1"/>
    <col min="15360" max="15360" width="4.44140625" style="21" customWidth="1"/>
    <col min="15361" max="15361" width="13.88671875" style="21" customWidth="1"/>
    <col min="15362" max="15601" width="9.109375" style="21"/>
    <col min="15602" max="15602" width="1.88671875" style="21" customWidth="1"/>
    <col min="15603" max="15603" width="2.6640625" style="21" customWidth="1"/>
    <col min="15604" max="15604" width="17.6640625" style="21" customWidth="1"/>
    <col min="15605" max="15605" width="3.109375" style="21" customWidth="1"/>
    <col min="15606" max="15606" width="9.5546875" style="21" customWidth="1"/>
    <col min="15607" max="15607" width="10.5546875" style="21" customWidth="1"/>
    <col min="15608" max="15608" width="10.88671875" style="21" customWidth="1"/>
    <col min="15609" max="15610" width="9.109375" style="21"/>
    <col min="15611" max="15611" width="23.5546875" style="21" customWidth="1"/>
    <col min="15612" max="15612" width="3.33203125" style="21" customWidth="1"/>
    <col min="15613" max="15613" width="9" style="21" customWidth="1"/>
    <col min="15614" max="15614" width="1" style="21" customWidth="1"/>
    <col min="15615" max="15615" width="9.33203125" style="21" customWidth="1"/>
    <col min="15616" max="15616" width="4.44140625" style="21" customWidth="1"/>
    <col min="15617" max="15617" width="13.88671875" style="21" customWidth="1"/>
    <col min="15618" max="15857" width="9.109375" style="21"/>
    <col min="15858" max="15858" width="1.88671875" style="21" customWidth="1"/>
    <col min="15859" max="15859" width="2.6640625" style="21" customWidth="1"/>
    <col min="15860" max="15860" width="17.6640625" style="21" customWidth="1"/>
    <col min="15861" max="15861" width="3.109375" style="21" customWidth="1"/>
    <col min="15862" max="15862" width="9.5546875" style="21" customWidth="1"/>
    <col min="15863" max="15863" width="10.5546875" style="21" customWidth="1"/>
    <col min="15864" max="15864" width="10.88671875" style="21" customWidth="1"/>
    <col min="15865" max="15866" width="9.109375" style="21"/>
    <col min="15867" max="15867" width="23.5546875" style="21" customWidth="1"/>
    <col min="15868" max="15868" width="3.33203125" style="21" customWidth="1"/>
    <col min="15869" max="15869" width="9" style="21" customWidth="1"/>
    <col min="15870" max="15870" width="1" style="21" customWidth="1"/>
    <col min="15871" max="15871" width="9.33203125" style="21" customWidth="1"/>
    <col min="15872" max="15872" width="4.44140625" style="21" customWidth="1"/>
    <col min="15873" max="15873" width="13.88671875" style="21" customWidth="1"/>
    <col min="15874" max="16113" width="9.109375" style="21"/>
    <col min="16114" max="16114" width="1.88671875" style="21" customWidth="1"/>
    <col min="16115" max="16115" width="2.6640625" style="21" customWidth="1"/>
    <col min="16116" max="16116" width="17.6640625" style="21" customWidth="1"/>
    <col min="16117" max="16117" width="3.109375" style="21" customWidth="1"/>
    <col min="16118" max="16118" width="9.5546875" style="21" customWidth="1"/>
    <col min="16119" max="16119" width="10.5546875" style="21" customWidth="1"/>
    <col min="16120" max="16120" width="10.88671875" style="21" customWidth="1"/>
    <col min="16121" max="16122" width="9.109375" style="21"/>
    <col min="16123" max="16123" width="23.5546875" style="21" customWidth="1"/>
    <col min="16124" max="16124" width="3.33203125" style="21" customWidth="1"/>
    <col min="16125" max="16125" width="9" style="21" customWidth="1"/>
    <col min="16126" max="16126" width="1" style="21" customWidth="1"/>
    <col min="16127" max="16127" width="9.33203125" style="21" customWidth="1"/>
    <col min="16128" max="16128" width="4.44140625" style="21" customWidth="1"/>
    <col min="16129" max="16129" width="13.88671875" style="21" customWidth="1"/>
    <col min="16130" max="16384" width="9.109375" style="21"/>
  </cols>
  <sheetData>
    <row r="1" spans="1:8" x14ac:dyDescent="0.25">
      <c r="A1" s="1"/>
    </row>
    <row r="2" spans="1:8" ht="14.25" customHeight="1" x14ac:dyDescent="0.35">
      <c r="B2" s="246" t="s">
        <v>149</v>
      </c>
      <c r="C2" s="247"/>
      <c r="D2" s="247"/>
      <c r="E2" s="247"/>
      <c r="F2" s="247"/>
    </row>
    <row r="3" spans="1:8" ht="29.25" customHeight="1" x14ac:dyDescent="0.25">
      <c r="B3" s="45"/>
      <c r="C3" s="45"/>
      <c r="D3" s="46" t="s">
        <v>112</v>
      </c>
      <c r="E3" s="46" t="s">
        <v>164</v>
      </c>
      <c r="F3" s="24" t="s">
        <v>0</v>
      </c>
      <c r="H3" s="47" t="s">
        <v>148</v>
      </c>
    </row>
    <row r="4" spans="1:8" x14ac:dyDescent="0.25">
      <c r="B4" s="245" t="s">
        <v>1</v>
      </c>
      <c r="C4" s="243"/>
      <c r="D4" s="48"/>
      <c r="E4" s="49"/>
      <c r="F4" s="50"/>
    </row>
    <row r="5" spans="1:8" x14ac:dyDescent="0.25">
      <c r="B5" s="20"/>
      <c r="C5" s="51" t="s">
        <v>209</v>
      </c>
      <c r="D5" s="52">
        <v>660</v>
      </c>
      <c r="E5" s="53">
        <v>600</v>
      </c>
      <c r="F5" s="54" t="s">
        <v>11</v>
      </c>
      <c r="H5" s="29"/>
    </row>
    <row r="6" spans="1:8" x14ac:dyDescent="0.25">
      <c r="B6" s="20"/>
      <c r="C6" s="51" t="s">
        <v>2</v>
      </c>
      <c r="D6" s="52">
        <v>540</v>
      </c>
      <c r="E6" s="53">
        <v>750</v>
      </c>
      <c r="F6" s="54" t="s">
        <v>12</v>
      </c>
      <c r="H6" s="29"/>
    </row>
    <row r="7" spans="1:8" x14ac:dyDescent="0.25">
      <c r="B7" s="20"/>
      <c r="C7" s="55" t="s">
        <v>13</v>
      </c>
      <c r="D7" s="52">
        <v>15</v>
      </c>
      <c r="E7" s="53">
        <v>15</v>
      </c>
      <c r="F7" s="54" t="s">
        <v>14</v>
      </c>
      <c r="H7" s="29"/>
    </row>
    <row r="8" spans="1:8" x14ac:dyDescent="0.25">
      <c r="B8" s="20"/>
      <c r="C8" s="55" t="s">
        <v>210</v>
      </c>
      <c r="D8" s="52">
        <v>80</v>
      </c>
      <c r="E8" s="53">
        <v>80</v>
      </c>
      <c r="F8" s="54" t="s">
        <v>15</v>
      </c>
      <c r="H8" s="29"/>
    </row>
    <row r="9" spans="1:8" x14ac:dyDescent="0.25">
      <c r="B9" s="20"/>
      <c r="C9" s="55" t="s">
        <v>211</v>
      </c>
      <c r="D9" s="52">
        <v>50</v>
      </c>
      <c r="E9" s="53">
        <v>50</v>
      </c>
      <c r="F9" s="54" t="s">
        <v>26</v>
      </c>
      <c r="H9" s="29"/>
    </row>
    <row r="10" spans="1:8" x14ac:dyDescent="0.25">
      <c r="B10" s="20"/>
      <c r="C10" s="51" t="s">
        <v>212</v>
      </c>
      <c r="D10" s="52">
        <v>600</v>
      </c>
      <c r="E10" s="53">
        <v>600</v>
      </c>
      <c r="F10" s="56" t="s">
        <v>3</v>
      </c>
      <c r="H10" s="29"/>
    </row>
    <row r="11" spans="1:8" x14ac:dyDescent="0.25">
      <c r="B11" s="20"/>
      <c r="C11" s="51" t="s">
        <v>213</v>
      </c>
      <c r="D11" s="52">
        <v>150</v>
      </c>
      <c r="E11" s="53">
        <v>150</v>
      </c>
      <c r="F11" s="56" t="s">
        <v>75</v>
      </c>
      <c r="H11" s="29"/>
    </row>
    <row r="12" spans="1:8" x14ac:dyDescent="0.25">
      <c r="B12" s="20"/>
      <c r="C12" s="51" t="s">
        <v>214</v>
      </c>
      <c r="D12" s="52">
        <v>187.5</v>
      </c>
      <c r="E12" s="53">
        <v>250</v>
      </c>
      <c r="F12" s="56"/>
      <c r="H12" s="29"/>
    </row>
    <row r="13" spans="1:8" x14ac:dyDescent="0.25">
      <c r="B13" s="20"/>
      <c r="C13" s="51" t="s">
        <v>215</v>
      </c>
      <c r="D13" s="52">
        <v>95</v>
      </c>
      <c r="E13" s="53">
        <v>95</v>
      </c>
      <c r="F13" s="56"/>
    </row>
    <row r="14" spans="1:8" x14ac:dyDescent="0.25">
      <c r="B14" s="20"/>
      <c r="C14" s="51" t="s">
        <v>6</v>
      </c>
      <c r="D14" s="52">
        <v>2500</v>
      </c>
      <c r="E14" s="53">
        <v>2500</v>
      </c>
      <c r="F14" s="54" t="s">
        <v>25</v>
      </c>
    </row>
    <row r="15" spans="1:8" x14ac:dyDescent="0.25">
      <c r="B15" s="20"/>
      <c r="C15" s="51" t="s">
        <v>4</v>
      </c>
      <c r="D15" s="52">
        <v>296</v>
      </c>
      <c r="E15" s="53">
        <v>370</v>
      </c>
      <c r="F15" s="54" t="s">
        <v>28</v>
      </c>
      <c r="H15" s="29"/>
    </row>
    <row r="16" spans="1:8" x14ac:dyDescent="0.25">
      <c r="B16" s="20"/>
      <c r="C16" s="51" t="s">
        <v>216</v>
      </c>
      <c r="D16" s="53">
        <f>+(SUM(D5:D15)*0.065)/2</f>
        <v>168.13875000000002</v>
      </c>
      <c r="E16" s="53">
        <f>+(SUM(E5:E15)*0.065)/2</f>
        <v>177.45000000000002</v>
      </c>
      <c r="F16" s="57" t="s">
        <v>223</v>
      </c>
      <c r="H16" s="29"/>
    </row>
    <row r="17" spans="2:12" ht="14.4" x14ac:dyDescent="0.3">
      <c r="B17" s="244" t="s">
        <v>7</v>
      </c>
      <c r="C17" s="244"/>
      <c r="D17" s="58">
        <f>+SUM(D5:D16)</f>
        <v>5341.6387500000001</v>
      </c>
      <c r="E17" s="58">
        <f>+SUM(E5:E16)</f>
        <v>5637.45</v>
      </c>
      <c r="F17" s="54"/>
      <c r="H17" s="29"/>
    </row>
    <row r="18" spans="2:12" x14ac:dyDescent="0.25">
      <c r="B18" s="59"/>
      <c r="C18" s="59"/>
      <c r="D18" s="60"/>
      <c r="E18" s="61"/>
      <c r="F18" s="62"/>
      <c r="H18" s="29"/>
    </row>
    <row r="19" spans="2:12" x14ac:dyDescent="0.25">
      <c r="B19" s="243" t="s">
        <v>8</v>
      </c>
      <c r="C19" s="243"/>
      <c r="D19" s="63"/>
      <c r="E19" s="61"/>
      <c r="F19" s="54"/>
      <c r="H19" s="29"/>
    </row>
    <row r="20" spans="2:12" x14ac:dyDescent="0.25">
      <c r="B20" s="20"/>
      <c r="C20" s="51" t="s">
        <v>217</v>
      </c>
      <c r="D20" s="64">
        <f>'Machinery Etc'!$H$41</f>
        <v>682.01082251082255</v>
      </c>
      <c r="E20" s="64">
        <f>'Machinery Etc'!$H$41</f>
        <v>682.01082251082255</v>
      </c>
      <c r="F20" s="65" t="s">
        <v>105</v>
      </c>
      <c r="H20" s="29"/>
    </row>
    <row r="21" spans="2:12" x14ac:dyDescent="0.25">
      <c r="B21" s="20"/>
      <c r="C21" s="51" t="s">
        <v>218</v>
      </c>
      <c r="D21" s="64">
        <f>'Machinery Etc'!$I$41</f>
        <v>470.44318181818181</v>
      </c>
      <c r="E21" s="64">
        <f>'Machinery Etc'!$I$41</f>
        <v>470.44318181818181</v>
      </c>
      <c r="F21" s="65" t="s">
        <v>105</v>
      </c>
      <c r="H21" s="29"/>
    </row>
    <row r="22" spans="2:12" x14ac:dyDescent="0.25">
      <c r="B22" s="20"/>
      <c r="C22" s="51" t="s">
        <v>219</v>
      </c>
      <c r="D22" s="53">
        <v>195</v>
      </c>
      <c r="E22" s="53">
        <v>195</v>
      </c>
      <c r="F22" s="54" t="s">
        <v>17</v>
      </c>
      <c r="H22" s="29"/>
    </row>
    <row r="23" spans="2:12" x14ac:dyDescent="0.25">
      <c r="B23" s="20"/>
      <c r="C23" s="55" t="s">
        <v>220</v>
      </c>
      <c r="D23" s="53">
        <f>70*1.1</f>
        <v>77</v>
      </c>
      <c r="E23" s="53">
        <f>70*1.1</f>
        <v>77</v>
      </c>
      <c r="F23" s="65" t="s">
        <v>224</v>
      </c>
      <c r="H23" s="29"/>
      <c r="L23" s="66"/>
    </row>
    <row r="24" spans="2:12" x14ac:dyDescent="0.25">
      <c r="B24" s="20"/>
      <c r="C24" s="51" t="s">
        <v>221</v>
      </c>
      <c r="D24" s="53">
        <f>15000*0.05</f>
        <v>750</v>
      </c>
      <c r="E24" s="53">
        <f>15000*0.05</f>
        <v>750</v>
      </c>
      <c r="F24" s="65" t="s">
        <v>225</v>
      </c>
      <c r="H24" s="29"/>
    </row>
    <row r="25" spans="2:12" x14ac:dyDescent="0.25">
      <c r="B25" s="20"/>
      <c r="C25" s="51" t="s">
        <v>19</v>
      </c>
      <c r="D25" s="53">
        <v>250</v>
      </c>
      <c r="E25" s="53">
        <v>250</v>
      </c>
      <c r="F25" s="54" t="s">
        <v>49</v>
      </c>
      <c r="H25" s="29"/>
    </row>
    <row r="26" spans="2:12" x14ac:dyDescent="0.25">
      <c r="B26" s="20"/>
      <c r="C26" s="51" t="s">
        <v>20</v>
      </c>
      <c r="D26" s="53">
        <v>240</v>
      </c>
      <c r="E26" s="53">
        <v>240</v>
      </c>
      <c r="F26" s="54" t="s">
        <v>50</v>
      </c>
      <c r="H26" s="29"/>
    </row>
    <row r="27" spans="2:12" x14ac:dyDescent="0.25">
      <c r="B27" s="67"/>
      <c r="C27" s="67" t="s">
        <v>5</v>
      </c>
      <c r="D27" s="53">
        <v>170</v>
      </c>
      <c r="E27" s="53">
        <v>170</v>
      </c>
      <c r="F27" s="54" t="s">
        <v>18</v>
      </c>
      <c r="H27" s="29"/>
    </row>
    <row r="28" spans="2:12" x14ac:dyDescent="0.25">
      <c r="B28" s="67"/>
      <c r="C28" s="67" t="s">
        <v>16</v>
      </c>
      <c r="D28" s="53">
        <v>60</v>
      </c>
      <c r="E28" s="53">
        <v>60</v>
      </c>
      <c r="F28" s="56" t="s">
        <v>27</v>
      </c>
      <c r="H28" s="29"/>
    </row>
    <row r="29" spans="2:12" ht="16.8" x14ac:dyDescent="0.25">
      <c r="B29" s="67"/>
      <c r="C29" s="200" t="s">
        <v>222</v>
      </c>
      <c r="D29" s="53"/>
      <c r="E29" s="53">
        <f>-'App2. Amortization calc'!$C$9</f>
        <v>2116.0032396169759</v>
      </c>
      <c r="F29" s="56"/>
      <c r="H29" s="29"/>
    </row>
    <row r="30" spans="2:12" ht="14.4" x14ac:dyDescent="0.3">
      <c r="B30" s="244" t="s">
        <v>9</v>
      </c>
      <c r="C30" s="244"/>
      <c r="D30" s="68">
        <f>+SUM(D20:D29)</f>
        <v>2894.4540043290044</v>
      </c>
      <c r="E30" s="68">
        <f>+SUM(E20:E29)</f>
        <v>5010.4572439459807</v>
      </c>
      <c r="F30" s="54"/>
      <c r="H30" s="29"/>
    </row>
    <row r="31" spans="2:12" x14ac:dyDescent="0.25">
      <c r="B31" s="248"/>
      <c r="C31" s="249"/>
      <c r="D31" s="69"/>
      <c r="E31" s="61"/>
      <c r="F31" s="62"/>
    </row>
    <row r="32" spans="2:12" x14ac:dyDescent="0.25">
      <c r="B32" s="243" t="s">
        <v>10</v>
      </c>
      <c r="C32" s="243"/>
      <c r="D32" s="70">
        <f>+D17+D30</f>
        <v>8236.0927543290054</v>
      </c>
      <c r="E32" s="70">
        <f>+E17+E30</f>
        <v>10647.907243945981</v>
      </c>
      <c r="F32" s="54"/>
      <c r="H32" s="29"/>
    </row>
    <row r="33" spans="2:8" x14ac:dyDescent="0.25">
      <c r="B33" s="248"/>
      <c r="C33" s="249"/>
      <c r="D33" s="51"/>
      <c r="E33" s="71"/>
      <c r="F33" s="62"/>
    </row>
    <row r="34" spans="2:8" x14ac:dyDescent="0.25">
      <c r="B34" s="243" t="s">
        <v>72</v>
      </c>
      <c r="C34" s="243"/>
      <c r="D34" s="48"/>
      <c r="E34" s="72"/>
      <c r="F34" s="67"/>
    </row>
    <row r="35" spans="2:8" x14ac:dyDescent="0.25">
      <c r="B35" s="48"/>
      <c r="C35" s="51" t="s">
        <v>71</v>
      </c>
      <c r="D35" s="80">
        <f>0.8*E35</f>
        <v>1152</v>
      </c>
      <c r="E35" s="81">
        <f>0.8*1800</f>
        <v>1440</v>
      </c>
      <c r="F35" s="73" t="s">
        <v>226</v>
      </c>
      <c r="H35" s="29"/>
    </row>
    <row r="36" spans="2:8" x14ac:dyDescent="0.25">
      <c r="B36" s="48"/>
      <c r="C36" s="51" t="s">
        <v>70</v>
      </c>
      <c r="D36" s="80">
        <f>0.8*E36</f>
        <v>448</v>
      </c>
      <c r="E36" s="81">
        <f>0.2*2800</f>
        <v>560</v>
      </c>
      <c r="F36" s="73" t="s">
        <v>227</v>
      </c>
      <c r="H36" s="29"/>
    </row>
    <row r="37" spans="2:8" x14ac:dyDescent="0.25">
      <c r="B37" s="250" t="s">
        <v>21</v>
      </c>
      <c r="C37" s="250"/>
      <c r="D37" s="74"/>
      <c r="E37" s="72"/>
      <c r="F37" s="50"/>
    </row>
    <row r="38" spans="2:8" x14ac:dyDescent="0.25">
      <c r="B38" s="48"/>
      <c r="C38" s="51" t="s">
        <v>71</v>
      </c>
      <c r="D38" s="64">
        <v>6.5</v>
      </c>
      <c r="E38" s="64">
        <v>6.5</v>
      </c>
      <c r="F38" s="67"/>
      <c r="H38" s="29"/>
    </row>
    <row r="39" spans="2:8" x14ac:dyDescent="0.25">
      <c r="B39" s="48"/>
      <c r="C39" s="51" t="s">
        <v>70</v>
      </c>
      <c r="D39" s="64">
        <v>3.25</v>
      </c>
      <c r="E39" s="64">
        <v>3.25</v>
      </c>
      <c r="F39" s="67"/>
      <c r="H39" s="29"/>
    </row>
    <row r="40" spans="2:8" x14ac:dyDescent="0.25">
      <c r="B40" s="250" t="s">
        <v>22</v>
      </c>
      <c r="C40" s="250"/>
      <c r="D40" s="70">
        <f>(D35*D38)+(D36*D39)</f>
        <v>8944</v>
      </c>
      <c r="E40" s="70">
        <f>(E35*E38)+(E36*E39)</f>
        <v>11180</v>
      </c>
      <c r="F40" s="50"/>
      <c r="H40" s="29"/>
    </row>
    <row r="41" spans="2:8" x14ac:dyDescent="0.25">
      <c r="B41" s="250"/>
      <c r="C41" s="250"/>
      <c r="D41" s="75"/>
      <c r="E41" s="61"/>
      <c r="F41" s="50"/>
    </row>
    <row r="42" spans="2:8" x14ac:dyDescent="0.25">
      <c r="B42" s="250" t="s">
        <v>23</v>
      </c>
      <c r="C42" s="250"/>
      <c r="D42" s="70">
        <f>D40-D32</f>
        <v>707.9072456709946</v>
      </c>
      <c r="E42" s="70">
        <f>E40-E32</f>
        <v>532.09275605401854</v>
      </c>
      <c r="F42" s="50"/>
    </row>
    <row r="43" spans="2:8" x14ac:dyDescent="0.25">
      <c r="B43" s="76"/>
      <c r="C43" s="76"/>
      <c r="D43" s="76"/>
      <c r="E43" s="77"/>
      <c r="F43" s="76"/>
      <c r="H43" s="42"/>
    </row>
    <row r="44" spans="2:8" x14ac:dyDescent="0.25">
      <c r="B44" s="194" t="s">
        <v>162</v>
      </c>
      <c r="C44" s="20"/>
      <c r="D44" s="20"/>
      <c r="E44" s="138"/>
      <c r="F44" s="20"/>
      <c r="H44" s="20"/>
    </row>
    <row r="45" spans="2:8" x14ac:dyDescent="0.25">
      <c r="B45" s="194"/>
      <c r="C45" s="190" t="s">
        <v>71</v>
      </c>
      <c r="D45" s="20"/>
      <c r="E45" s="195">
        <f>(E32-(E39*E36))/E35</f>
        <v>6.1304911416291539</v>
      </c>
      <c r="F45" s="20"/>
      <c r="H45" s="29"/>
    </row>
    <row r="46" spans="2:8" s="20" customFormat="1" x14ac:dyDescent="0.25">
      <c r="C46" s="190" t="s">
        <v>70</v>
      </c>
      <c r="E46" s="195">
        <f>(E32-(E38*E35))/E36</f>
        <v>2.2998343641892527</v>
      </c>
      <c r="H46" s="29"/>
    </row>
    <row r="47" spans="2:8" x14ac:dyDescent="0.25">
      <c r="B47" s="76"/>
      <c r="C47" s="196"/>
      <c r="D47" s="76"/>
      <c r="E47" s="197"/>
      <c r="F47" s="76"/>
      <c r="H47" s="76"/>
    </row>
    <row r="48" spans="2:8" x14ac:dyDescent="0.25">
      <c r="B48" s="78" t="s">
        <v>73</v>
      </c>
      <c r="E48" s="79"/>
    </row>
    <row r="49" spans="2:8" x14ac:dyDescent="0.25">
      <c r="B49" s="78" t="s">
        <v>166</v>
      </c>
    </row>
    <row r="50" spans="2:8" s="78" customFormat="1" ht="28.2" customHeight="1" x14ac:dyDescent="0.25">
      <c r="B50" s="242" t="s">
        <v>165</v>
      </c>
      <c r="C50" s="242"/>
      <c r="D50" s="242"/>
      <c r="E50" s="242"/>
      <c r="F50" s="242"/>
      <c r="G50" s="198"/>
      <c r="H50" s="21"/>
    </row>
    <row r="52" spans="2:8" x14ac:dyDescent="0.25">
      <c r="E52" s="21"/>
    </row>
    <row r="53" spans="2:8" x14ac:dyDescent="0.25">
      <c r="E53" s="79"/>
    </row>
  </sheetData>
  <sheetProtection sheet="1" objects="1" scenarios="1"/>
  <protectedRanges>
    <protectedRange sqref="A1:XFD16 A18:XFD29 A31:XFD31 A33:XFD39 A41:XFD41 A43:XFD43 B49 A47:A59 D47:XFD59 B47:C48 B50:C59" name="Range1"/>
  </protectedRanges>
  <customSheetViews>
    <customSheetView guid="{76B766A5-443C-4C54-86C8-F5C661F06BFC}" fitToPage="1">
      <selection activeCell="F15" sqref="F15"/>
      <pageMargins left="0.2" right="0.2" top="0.75" bottom="0.75" header="0.3" footer="0.3"/>
      <pageSetup scale="82" orientation="portrait" r:id="rId1"/>
    </customSheetView>
    <customSheetView guid="{4DF746F6-C3F2-4BEF-B84D-60D120277636}" fitToPage="1" topLeftCell="A13">
      <selection activeCell="F36" sqref="F36"/>
      <pageMargins left="0.2" right="0.2" top="0.75" bottom="0.75" header="0.3" footer="0.3"/>
      <pageSetup scale="82" orientation="portrait" r:id="rId2"/>
    </customSheetView>
  </customSheetViews>
  <mergeCells count="14">
    <mergeCell ref="B50:F50"/>
    <mergeCell ref="B19:C19"/>
    <mergeCell ref="B17:C17"/>
    <mergeCell ref="B4:C4"/>
    <mergeCell ref="B2:F2"/>
    <mergeCell ref="B33:C33"/>
    <mergeCell ref="B31:C31"/>
    <mergeCell ref="B32:C32"/>
    <mergeCell ref="B30:C30"/>
    <mergeCell ref="B40:C40"/>
    <mergeCell ref="B41:C41"/>
    <mergeCell ref="B42:C42"/>
    <mergeCell ref="B37:C37"/>
    <mergeCell ref="B34:C34"/>
  </mergeCells>
  <pageMargins left="0.2" right="0.2" top="0.75" bottom="0.75" header="0.3" footer="0.3"/>
  <pageSetup scale="82" orientation="portrait" r:id="rId3"/>
  <ignoredErrors>
    <ignoredError sqref="E16 D16:D24 E23:E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7"/>
  <sheetViews>
    <sheetView workbookViewId="0">
      <selection activeCell="F24" sqref="F24"/>
    </sheetView>
  </sheetViews>
  <sheetFormatPr defaultColWidth="9.109375" defaultRowHeight="13.8" x14ac:dyDescent="0.25"/>
  <cols>
    <col min="1" max="1" width="5.6640625" style="21" customWidth="1"/>
    <col min="2" max="2" width="15.5546875" style="21" customWidth="1"/>
    <col min="3" max="3" width="13.44140625" style="21" customWidth="1"/>
    <col min="4" max="4" width="12.88671875" style="21" customWidth="1"/>
    <col min="5" max="5" width="12" style="21" customWidth="1"/>
    <col min="6" max="7" width="12.6640625" style="21" customWidth="1"/>
    <col min="8" max="8" width="12.5546875" style="21" customWidth="1"/>
    <col min="9" max="9" width="2.6640625" style="21" customWidth="1"/>
    <col min="10" max="16384" width="9.109375" style="21"/>
  </cols>
  <sheetData>
    <row r="2" spans="2:8" ht="38.4" customHeight="1" x14ac:dyDescent="0.3">
      <c r="B2" s="251" t="s">
        <v>228</v>
      </c>
      <c r="C2" s="251"/>
      <c r="D2" s="251"/>
      <c r="E2" s="251"/>
      <c r="F2" s="251"/>
      <c r="G2" s="251"/>
      <c r="H2" s="251"/>
    </row>
    <row r="3" spans="2:8" ht="16.8" x14ac:dyDescent="0.25">
      <c r="B3" s="252" t="s">
        <v>229</v>
      </c>
      <c r="C3" s="254" t="s">
        <v>230</v>
      </c>
      <c r="D3" s="254"/>
      <c r="E3" s="254"/>
      <c r="F3" s="254"/>
      <c r="G3" s="254"/>
      <c r="H3" s="254"/>
    </row>
    <row r="4" spans="2:8" ht="16.95" customHeight="1" x14ac:dyDescent="0.25">
      <c r="B4" s="253"/>
      <c r="C4" s="82">
        <v>5.5</v>
      </c>
      <c r="D4" s="82">
        <v>5.75</v>
      </c>
      <c r="E4" s="82">
        <v>6</v>
      </c>
      <c r="F4" s="82">
        <v>6.25</v>
      </c>
      <c r="G4" s="82">
        <v>6.5</v>
      </c>
      <c r="H4" s="82">
        <v>6.75</v>
      </c>
    </row>
    <row r="5" spans="2:8" x14ac:dyDescent="0.25">
      <c r="B5" s="83">
        <f t="shared" ref="B5:B6" si="0">B6-200</f>
        <v>840</v>
      </c>
      <c r="C5" s="84">
        <f>C$4*$B5+('Hop Production'!$E$36*'Hop Production'!$E$39)-(SUM('Hop Production'!$E$5:$E$15)*(1+'Price&amp;Yield Analysis'!$C$13*0.5))-'Hop Production'!$E$30</f>
        <v>-4207.9072439459806</v>
      </c>
      <c r="D5" s="84">
        <f>D$4*$B5+('Hop Production'!$E$36*'Hop Production'!$E$39)-(SUM('Hop Production'!$E$5:$E$15)*(1+'Price&amp;Yield Analysis'!$C$13*0.5))-'Hop Production'!$E$30</f>
        <v>-3997.9072439459806</v>
      </c>
      <c r="E5" s="84">
        <f>E$4*$B5+('Hop Production'!$E$36*'Hop Production'!$E$39)-(SUM('Hop Production'!$E$5:$E$15)*(1+'Price&amp;Yield Analysis'!$C$13*0.5))-'Hop Production'!$E$30</f>
        <v>-3787.9072439459806</v>
      </c>
      <c r="F5" s="84">
        <f>F$4*$B5+('Hop Production'!$E$36*'Hop Production'!$E$39)-(SUM('Hop Production'!$E$5:$E$15)*(1+'Price&amp;Yield Analysis'!$C$13*0.5))-'Hop Production'!$E$30</f>
        <v>-3577.9072439459806</v>
      </c>
      <c r="G5" s="84">
        <f>G$4*$B5+('Hop Production'!$E$36*'Hop Production'!$E$39)-(SUM('Hop Production'!$E$5:$E$15)*(1+'Price&amp;Yield Analysis'!$C$13*0.5))-'Hop Production'!$E$30</f>
        <v>-3367.9072439459806</v>
      </c>
      <c r="H5" s="84">
        <f>H$4*$B5+('Hop Production'!$E$36*'Hop Production'!$E$39)-(SUM('Hop Production'!$E$5:$E$15)*(1+'Price&amp;Yield Analysis'!$C$13*0.5))-'Hop Production'!$E$30</f>
        <v>-3157.9072439459806</v>
      </c>
    </row>
    <row r="6" spans="2:8" x14ac:dyDescent="0.25">
      <c r="B6" s="83">
        <f t="shared" si="0"/>
        <v>1040</v>
      </c>
      <c r="C6" s="84">
        <f>C$4*$B6+('Hop Production'!$E$36*'Hop Production'!$E$39)-(SUM('Hop Production'!$E$5:$E$15)*(1+'Price&amp;Yield Analysis'!$C$13*0.5))-'Hop Production'!$E$30</f>
        <v>-3107.9072439459806</v>
      </c>
      <c r="D6" s="84">
        <f>D$4*$B6+('Hop Production'!$E$36*'Hop Production'!$E$39)-(SUM('Hop Production'!$E$5:$E$15)*(1+'Price&amp;Yield Analysis'!$C$13*0.5))-'Hop Production'!$E$30</f>
        <v>-2847.9072439459806</v>
      </c>
      <c r="E6" s="84">
        <f>E$4*$B6+('Hop Production'!$E$36*'Hop Production'!$E$39)-(SUM('Hop Production'!$E$5:$E$15)*(1+'Price&amp;Yield Analysis'!$C$13*0.5))-'Hop Production'!$E$30</f>
        <v>-2587.9072439459806</v>
      </c>
      <c r="F6" s="84">
        <f>F$4*$B6+('Hop Production'!$E$36*'Hop Production'!$E$39)-(SUM('Hop Production'!$E$5:$E$15)*(1+'Price&amp;Yield Analysis'!$C$13*0.5))-'Hop Production'!$E$30</f>
        <v>-2327.9072439459806</v>
      </c>
      <c r="G6" s="84">
        <f>G$4*$B6+('Hop Production'!$E$36*'Hop Production'!$E$39)-(SUM('Hop Production'!$E$5:$E$15)*(1+'Price&amp;Yield Analysis'!$C$13*0.5))-'Hop Production'!$E$30</f>
        <v>-2067.9072439459806</v>
      </c>
      <c r="H6" s="84">
        <f>H$4*$B6+('Hop Production'!$E$36*'Hop Production'!$E$39)-(SUM('Hop Production'!$E$5:$E$15)*(1+'Price&amp;Yield Analysis'!$C$13*0.5))-'Hop Production'!$E$30</f>
        <v>-1807.9072439459806</v>
      </c>
    </row>
    <row r="7" spans="2:8" x14ac:dyDescent="0.25">
      <c r="B7" s="83">
        <f>B8-200</f>
        <v>1240</v>
      </c>
      <c r="C7" s="84">
        <f>C$4*$B7+('Hop Production'!$E$36*'Hop Production'!$E$39)-(SUM('Hop Production'!$E$5:$E$15)*(1+'Price&amp;Yield Analysis'!$C$13*0.5))-'Hop Production'!$E$30</f>
        <v>-2007.9072439459806</v>
      </c>
      <c r="D7" s="84">
        <f>D$4*$B7+('Hop Production'!$E$36*'Hop Production'!$E$39)-(SUM('Hop Production'!$E$5:$E$15)*(1+'Price&amp;Yield Analysis'!$C$13*0.5))-'Hop Production'!$E$30</f>
        <v>-1697.9072439459806</v>
      </c>
      <c r="E7" s="84">
        <f>E$4*$B7+('Hop Production'!$E$36*'Hop Production'!$E$39)-(SUM('Hop Production'!$E$5:$E$15)*(1+'Price&amp;Yield Analysis'!$C$13*0.5))-'Hop Production'!$E$30</f>
        <v>-1387.9072439459806</v>
      </c>
      <c r="F7" s="84">
        <f>F$4*$B7+('Hop Production'!$E$36*'Hop Production'!$E$39)-(SUM('Hop Production'!$E$5:$E$15)*(1+'Price&amp;Yield Analysis'!$C$13*0.5))-'Hop Production'!$E$30</f>
        <v>-1077.9072439459806</v>
      </c>
      <c r="G7" s="84">
        <f>G$4*$B7+('Hop Production'!$E$36*'Hop Production'!$E$39)-(SUM('Hop Production'!$E$5:$E$15)*(1+'Price&amp;Yield Analysis'!$C$13*0.5))-'Hop Production'!$E$30</f>
        <v>-767.90724394598055</v>
      </c>
      <c r="H7" s="84">
        <f>H$4*$B7+('Hop Production'!$E$36*'Hop Production'!$E$39)-(SUM('Hop Production'!$E$5:$E$15)*(1+'Price&amp;Yield Analysis'!$C$13*0.5))-'Hop Production'!$E$30</f>
        <v>-457.90724394598055</v>
      </c>
    </row>
    <row r="8" spans="2:8" x14ac:dyDescent="0.25">
      <c r="B8" s="83">
        <v>1440</v>
      </c>
      <c r="C8" s="84">
        <f>C$4*$B8+('Hop Production'!$E$36*'Hop Production'!$E$39)-(SUM('Hop Production'!$E$5:$E$15)*(1+'Price&amp;Yield Analysis'!$C$13*0.5))-'Hop Production'!$E$30</f>
        <v>-907.90724394598055</v>
      </c>
      <c r="D8" s="84">
        <f>D$4*$B8+('Hop Production'!$E$36*'Hop Production'!$E$39)-(SUM('Hop Production'!$E$5:$E$15)*(1+'Price&amp;Yield Analysis'!$C$13*0.5))-'Hop Production'!$E$30</f>
        <v>-547.90724394598055</v>
      </c>
      <c r="E8" s="84">
        <f>E$4*$B8+('Hop Production'!$E$36*'Hop Production'!$E$39)-(SUM('Hop Production'!$E$5:$E$15)*(1+'Price&amp;Yield Analysis'!$C$13*0.5))-'Hop Production'!$E$30</f>
        <v>-187.90724394598055</v>
      </c>
      <c r="F8" s="85">
        <f>F$4*$B8+('Hop Production'!$E$36*'Hop Production'!$E$39)-(SUM('Hop Production'!$E$5:$E$15)*(1+'Price&amp;Yield Analysis'!$C$13*0.5))-'Hop Production'!$E$30</f>
        <v>172.09275605401945</v>
      </c>
      <c r="G8" s="85">
        <f>G$4*$B8+('Hop Production'!$E$36*'Hop Production'!$E$39)-(SUM('Hop Production'!$E$5:$E$15)*(1+'Price&amp;Yield Analysis'!$C$13*0.5))-'Hop Production'!$E$30</f>
        <v>532.09275605401945</v>
      </c>
      <c r="H8" s="85">
        <f>H$4*$B8+('Hop Production'!$E$36*'Hop Production'!$E$39)-(SUM('Hop Production'!$E$5:$E$15)*(1+'Price&amp;Yield Analysis'!$C$13*0.5))-'Hop Production'!$E$30</f>
        <v>892.09275605401945</v>
      </c>
    </row>
    <row r="9" spans="2:8" x14ac:dyDescent="0.25">
      <c r="B9" s="83">
        <f>B8+200</f>
        <v>1640</v>
      </c>
      <c r="C9" s="85">
        <f>C$4*$B9+('Hop Production'!$E$36*'Hop Production'!$E$39)-(SUM('Hop Production'!$E$5:$E$15)*(1+'Price&amp;Yield Analysis'!$C$13*0.5))-'Hop Production'!$E$30</f>
        <v>192.09275605401945</v>
      </c>
      <c r="D9" s="85">
        <f>D$4*$B9+('Hop Production'!$E$36*'Hop Production'!$E$39)-(SUM('Hop Production'!$E$5:$E$15)*(1+'Price&amp;Yield Analysis'!$C$13*0.5))-'Hop Production'!$E$30</f>
        <v>602.09275605401945</v>
      </c>
      <c r="E9" s="85">
        <f>E$4*$B9+('Hop Production'!$E$36*'Hop Production'!$E$39)-(SUM('Hop Production'!$E$5:$E$15)*(1+'Price&amp;Yield Analysis'!$C$13*0.5))-'Hop Production'!$E$30</f>
        <v>1012.0927560540194</v>
      </c>
      <c r="F9" s="85">
        <f>F$4*$B9+('Hop Production'!$E$36*'Hop Production'!$E$39)-(SUM('Hop Production'!$E$5:$E$15)*(1+'Price&amp;Yield Analysis'!$C$13*0.5))-'Hop Production'!$E$30</f>
        <v>1422.0927560540194</v>
      </c>
      <c r="G9" s="85">
        <f>G$4*$B9+('Hop Production'!$E$36*'Hop Production'!$E$39)-(SUM('Hop Production'!$E$5:$E$15)*(1+'Price&amp;Yield Analysis'!$C$13*0.5))-'Hop Production'!$E$30</f>
        <v>1832.0927560540194</v>
      </c>
      <c r="H9" s="85">
        <f>H$4*$B9+('Hop Production'!$E$36*'Hop Production'!$E$39)-(SUM('Hop Production'!$E$5:$E$15)*(1+'Price&amp;Yield Analysis'!$C$13*0.5))-'Hop Production'!$E$30</f>
        <v>2242.0927560540194</v>
      </c>
    </row>
    <row r="10" spans="2:8" x14ac:dyDescent="0.25">
      <c r="B10" s="83">
        <f>B9+200</f>
        <v>1840</v>
      </c>
      <c r="C10" s="85">
        <f>C$4*$B10+('Hop Production'!$E$36*'Hop Production'!$E$39)-(SUM('Hop Production'!$E$5:$E$15)*(1+'Price&amp;Yield Analysis'!$C$13*0.5))-'Hop Production'!$E$30</f>
        <v>1292.0927560540194</v>
      </c>
      <c r="D10" s="85">
        <f>D$4*$B10+('Hop Production'!$E$36*'Hop Production'!$E$39)-(SUM('Hop Production'!$E$5:$E$15)*(1+'Price&amp;Yield Analysis'!$C$13*0.5))-'Hop Production'!$E$30</f>
        <v>1752.0927560540194</v>
      </c>
      <c r="E10" s="85">
        <f>E$4*$B10+('Hop Production'!$E$36*'Hop Production'!$E$39)-(SUM('Hop Production'!$E$5:$E$15)*(1+'Price&amp;Yield Analysis'!$C$13*0.5))-'Hop Production'!$E$30</f>
        <v>2212.0927560540194</v>
      </c>
      <c r="F10" s="85">
        <f>F$4*$B10+('Hop Production'!$E$36*'Hop Production'!$E$39)-(SUM('Hop Production'!$E$5:$E$15)*(1+'Price&amp;Yield Analysis'!$C$13*0.5))-'Hop Production'!$E$30</f>
        <v>2672.0927560540194</v>
      </c>
      <c r="G10" s="85">
        <f>G$4*$B10+('Hop Production'!$E$36*'Hop Production'!$E$39)-(SUM('Hop Production'!$E$5:$E$15)*(1+'Price&amp;Yield Analysis'!$C$13*0.5))-'Hop Production'!$E$30</f>
        <v>3132.0927560540194</v>
      </c>
      <c r="H10" s="85">
        <f>H$4*$B10+('Hop Production'!$E$36*'Hop Production'!$E$39)-(SUM('Hop Production'!$E$5:$E$15)*(1+'Price&amp;Yield Analysis'!$C$13*0.5))-'Hop Production'!$E$30</f>
        <v>3592.0927560540185</v>
      </c>
    </row>
    <row r="11" spans="2:8" x14ac:dyDescent="0.25">
      <c r="B11" s="83">
        <f t="shared" ref="B11:B12" si="1">B10+200</f>
        <v>2040</v>
      </c>
      <c r="C11" s="85">
        <f>C$4*$B11+('Hop Production'!$E$36*'Hop Production'!$E$39)-(SUM('Hop Production'!$E$5:$E$15)*(1+'Price&amp;Yield Analysis'!$C$13*0.5))-'Hop Production'!$E$30</f>
        <v>2392.0927560540194</v>
      </c>
      <c r="D11" s="85">
        <f>D$4*$B11+('Hop Production'!$E$36*'Hop Production'!$E$39)-(SUM('Hop Production'!$E$5:$E$15)*(1+'Price&amp;Yield Analysis'!$C$13*0.5))-'Hop Production'!$E$30</f>
        <v>2902.0927560540194</v>
      </c>
      <c r="E11" s="85">
        <f>E$4*$B11+('Hop Production'!$E$36*'Hop Production'!$E$39)-(SUM('Hop Production'!$E$5:$E$15)*(1+'Price&amp;Yield Analysis'!$C$13*0.5))-'Hop Production'!$E$30</f>
        <v>3412.0927560540185</v>
      </c>
      <c r="F11" s="85">
        <f>F$4*$B11+('Hop Production'!$E$36*'Hop Production'!$E$39)-(SUM('Hop Production'!$E$5:$E$15)*(1+'Price&amp;Yield Analysis'!$C$13*0.5))-'Hop Production'!$E$30</f>
        <v>3922.0927560540185</v>
      </c>
      <c r="G11" s="85">
        <f>G$4*$B11+('Hop Production'!$E$36*'Hop Production'!$E$39)-(SUM('Hop Production'!$E$5:$E$15)*(1+'Price&amp;Yield Analysis'!$C$13*0.5))-'Hop Production'!$E$30</f>
        <v>4432.0927560540185</v>
      </c>
      <c r="H11" s="85">
        <f>H$4*$B11+('Hop Production'!$E$36*'Hop Production'!$E$39)-(SUM('Hop Production'!$E$5:$E$15)*(1+'Price&amp;Yield Analysis'!$C$13*0.5))-'Hop Production'!$E$30</f>
        <v>4942.0927560540185</v>
      </c>
    </row>
    <row r="12" spans="2:8" x14ac:dyDescent="0.25">
      <c r="B12" s="83">
        <f t="shared" si="1"/>
        <v>2240</v>
      </c>
      <c r="C12" s="85">
        <f>C$4*$B12+('Hop Production'!$E$36*'Hop Production'!$E$39)-(SUM('Hop Production'!$E$5:$E$15)*(1+'Price&amp;Yield Analysis'!$C$13*0.5))-'Hop Production'!$E$30</f>
        <v>3492.0927560540185</v>
      </c>
      <c r="D12" s="85">
        <f>D$4*$B12+('Hop Production'!$E$36*'Hop Production'!$E$39)-(SUM('Hop Production'!$E$5:$E$15)*(1+'Price&amp;Yield Analysis'!$C$13*0.5))-'Hop Production'!$E$30</f>
        <v>4052.0927560540185</v>
      </c>
      <c r="E12" s="85">
        <f>E$4*$B12+('Hop Production'!$E$36*'Hop Production'!$E$39)-(SUM('Hop Production'!$E$5:$E$15)*(1+'Price&amp;Yield Analysis'!$C$13*0.5))-'Hop Production'!$E$30</f>
        <v>4612.0927560540185</v>
      </c>
      <c r="F12" s="85">
        <f>F$4*$B12+('Hop Production'!$E$36*'Hop Production'!$E$39)-(SUM('Hop Production'!$E$5:$E$15)*(1+'Price&amp;Yield Analysis'!$C$13*0.5))-'Hop Production'!$E$30</f>
        <v>5172.0927560540185</v>
      </c>
      <c r="G12" s="85">
        <f>G$4*$B12+('Hop Production'!$E$36*'Hop Production'!$E$39)-(SUM('Hop Production'!$E$5:$E$15)*(1+'Price&amp;Yield Analysis'!$C$13*0.5))-'Hop Production'!$E$30</f>
        <v>5732.0927560540185</v>
      </c>
      <c r="H12" s="85">
        <f>H$4*$B12+('Hop Production'!$E$36*'Hop Production'!$E$39)-(SUM('Hop Production'!$E$5:$E$15)*(1+'Price&amp;Yield Analysis'!$C$13*0.5))-'Hop Production'!$E$30</f>
        <v>6292.0927560540185</v>
      </c>
    </row>
    <row r="13" spans="2:8" x14ac:dyDescent="0.25">
      <c r="B13" s="86" t="s">
        <v>150</v>
      </c>
      <c r="C13" s="87">
        <v>6.5000000000000002E-2</v>
      </c>
      <c r="D13" s="86"/>
      <c r="E13" s="86"/>
      <c r="F13" s="86"/>
      <c r="G13" s="86"/>
      <c r="H13" s="86"/>
    </row>
    <row r="14" spans="2:8" x14ac:dyDescent="0.25">
      <c r="B14" s="88" t="s">
        <v>151</v>
      </c>
      <c r="C14" s="89"/>
      <c r="D14" s="20"/>
    </row>
    <row r="15" spans="2:8" x14ac:dyDescent="0.25">
      <c r="B15" s="88" t="s">
        <v>167</v>
      </c>
      <c r="C15" s="89"/>
      <c r="D15" s="20"/>
    </row>
    <row r="16" spans="2:8" x14ac:dyDescent="0.25">
      <c r="B16" s="90" t="s">
        <v>168</v>
      </c>
    </row>
    <row r="17" spans="2:6" x14ac:dyDescent="0.25">
      <c r="B17" s="90" t="s">
        <v>169</v>
      </c>
      <c r="C17" s="91"/>
      <c r="F17" s="92"/>
    </row>
  </sheetData>
  <sheetProtection sheet="1" objects="1" scenarios="1"/>
  <protectedRanges>
    <protectedRange sqref="A1:XFD2 C5:H12 A14:XFD27" name="Range1"/>
  </protectedRanges>
  <customSheetViews>
    <customSheetView guid="{76B766A5-443C-4C54-86C8-F5C661F06BFC}">
      <selection activeCell="C3" sqref="C3:H3"/>
      <pageMargins left="0.7" right="0.7" top="0.75" bottom="0.75" header="0.3" footer="0.3"/>
    </customSheetView>
    <customSheetView guid="{4DF746F6-C3F2-4BEF-B84D-60D120277636}">
      <selection activeCell="B3" sqref="B3:B4"/>
      <pageMargins left="0.7" right="0.7" top="0.75" bottom="0.75" header="0.3" footer="0.3"/>
    </customSheetView>
  </customSheetViews>
  <mergeCells count="3">
    <mergeCell ref="B2:H2"/>
    <mergeCell ref="B3:B4"/>
    <mergeCell ref="C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0"/>
  <sheetViews>
    <sheetView workbookViewId="0">
      <selection activeCell="B47" sqref="B47:I47"/>
    </sheetView>
  </sheetViews>
  <sheetFormatPr defaultColWidth="9.109375" defaultRowHeight="13.8" x14ac:dyDescent="0.25"/>
  <cols>
    <col min="1" max="1" width="5.6640625" style="21" customWidth="1"/>
    <col min="2" max="2" width="31.44140625" style="21" customWidth="1"/>
    <col min="3" max="3" width="13.109375" style="94" customWidth="1"/>
    <col min="4" max="5" width="15.109375" style="21" customWidth="1"/>
    <col min="6" max="6" width="12.88671875" style="21" customWidth="1"/>
    <col min="7" max="7" width="12" style="21" customWidth="1"/>
    <col min="8" max="8" width="13.6640625" style="21" customWidth="1"/>
    <col min="9" max="9" width="11.33203125" style="21" customWidth="1"/>
    <col min="10" max="11" width="9.109375" style="21"/>
    <col min="12" max="12" width="15.6640625" style="21" bestFit="1" customWidth="1"/>
    <col min="13" max="16384" width="9.109375" style="21"/>
  </cols>
  <sheetData>
    <row r="1" spans="2:10" ht="15" customHeight="1" x14ac:dyDescent="0.25"/>
    <row r="2" spans="2:10" ht="19.5" customHeight="1" x14ac:dyDescent="0.3">
      <c r="B2" s="259" t="s">
        <v>198</v>
      </c>
      <c r="C2" s="259"/>
      <c r="D2" s="259"/>
      <c r="E2" s="259"/>
      <c r="F2" s="259"/>
      <c r="G2" s="259"/>
      <c r="H2" s="259"/>
      <c r="I2" s="259"/>
    </row>
    <row r="3" spans="2:10" ht="25.5" customHeight="1" x14ac:dyDescent="0.25">
      <c r="B3" s="260" t="s">
        <v>109</v>
      </c>
      <c r="C3" s="256" t="s">
        <v>78</v>
      </c>
      <c r="D3" s="256" t="s">
        <v>199</v>
      </c>
      <c r="E3" s="256" t="s">
        <v>79</v>
      </c>
      <c r="F3" s="256" t="s">
        <v>80</v>
      </c>
      <c r="G3" s="256" t="s">
        <v>200</v>
      </c>
      <c r="H3" s="256" t="s">
        <v>106</v>
      </c>
      <c r="I3" s="256" t="s">
        <v>107</v>
      </c>
    </row>
    <row r="4" spans="2:10" ht="21.75" customHeight="1" x14ac:dyDescent="0.25">
      <c r="B4" s="261"/>
      <c r="C4" s="257"/>
      <c r="D4" s="257"/>
      <c r="E4" s="257"/>
      <c r="F4" s="257"/>
      <c r="G4" s="257"/>
      <c r="H4" s="257"/>
      <c r="I4" s="257"/>
    </row>
    <row r="5" spans="2:10" x14ac:dyDescent="0.25">
      <c r="B5" s="224" t="s">
        <v>104</v>
      </c>
      <c r="C5" s="225">
        <v>1</v>
      </c>
      <c r="D5" s="95">
        <v>150000</v>
      </c>
      <c r="E5" s="95">
        <f>C5*D5</f>
        <v>150000</v>
      </c>
      <c r="F5" s="228">
        <v>30</v>
      </c>
      <c r="G5" s="229">
        <v>0</v>
      </c>
      <c r="H5" s="95">
        <f>(E5-G5)/F5</f>
        <v>5000</v>
      </c>
      <c r="I5" s="95">
        <f t="shared" ref="I5:I36" si="0">((E5+G5)/2)*$C$42</f>
        <v>3750</v>
      </c>
    </row>
    <row r="6" spans="2:10" x14ac:dyDescent="0.25">
      <c r="B6" s="224" t="s">
        <v>231</v>
      </c>
      <c r="C6" s="225">
        <v>1</v>
      </c>
      <c r="D6" s="95">
        <v>75000</v>
      </c>
      <c r="E6" s="95">
        <f>C6*D6</f>
        <v>75000</v>
      </c>
      <c r="F6" s="228">
        <v>30</v>
      </c>
      <c r="G6" s="229">
        <v>0</v>
      </c>
      <c r="H6" s="95">
        <f t="shared" ref="H6:H36" si="1">(E6-G6)/F6</f>
        <v>2500</v>
      </c>
      <c r="I6" s="95">
        <f t="shared" si="0"/>
        <v>1875</v>
      </c>
    </row>
    <row r="7" spans="2:10" x14ac:dyDescent="0.25">
      <c r="B7" s="226" t="s">
        <v>81</v>
      </c>
      <c r="C7" s="227">
        <v>2</v>
      </c>
      <c r="D7" s="95">
        <v>120000</v>
      </c>
      <c r="E7" s="95">
        <f>C7*D7</f>
        <v>240000</v>
      </c>
      <c r="F7" s="228">
        <v>10</v>
      </c>
      <c r="G7" s="229">
        <v>30000</v>
      </c>
      <c r="H7" s="95">
        <f t="shared" si="1"/>
        <v>21000</v>
      </c>
      <c r="I7" s="95">
        <f t="shared" si="0"/>
        <v>6750</v>
      </c>
      <c r="J7" s="96"/>
    </row>
    <row r="8" spans="2:10" x14ac:dyDescent="0.25">
      <c r="B8" s="226" t="s">
        <v>82</v>
      </c>
      <c r="C8" s="227">
        <v>3</v>
      </c>
      <c r="D8" s="95">
        <v>80000</v>
      </c>
      <c r="E8" s="95">
        <f t="shared" ref="E8:E36" si="2">C8*D8</f>
        <v>240000</v>
      </c>
      <c r="F8" s="228">
        <v>10</v>
      </c>
      <c r="G8" s="229">
        <v>30000</v>
      </c>
      <c r="H8" s="95">
        <f t="shared" si="1"/>
        <v>21000</v>
      </c>
      <c r="I8" s="95">
        <f t="shared" si="0"/>
        <v>6750</v>
      </c>
      <c r="J8" s="96"/>
    </row>
    <row r="9" spans="2:10" x14ac:dyDescent="0.25">
      <c r="B9" s="226" t="s">
        <v>83</v>
      </c>
      <c r="C9" s="227">
        <v>4</v>
      </c>
      <c r="D9" s="95">
        <v>65000</v>
      </c>
      <c r="E9" s="95">
        <f t="shared" si="2"/>
        <v>260000</v>
      </c>
      <c r="F9" s="228">
        <v>10</v>
      </c>
      <c r="G9" s="229">
        <v>20000</v>
      </c>
      <c r="H9" s="95">
        <f t="shared" si="1"/>
        <v>24000</v>
      </c>
      <c r="I9" s="95">
        <f t="shared" si="0"/>
        <v>7000</v>
      </c>
      <c r="J9" s="96"/>
    </row>
    <row r="10" spans="2:10" x14ac:dyDescent="0.25">
      <c r="B10" s="226" t="s">
        <v>84</v>
      </c>
      <c r="C10" s="227">
        <v>1</v>
      </c>
      <c r="D10" s="95">
        <v>75000</v>
      </c>
      <c r="E10" s="95">
        <f t="shared" si="2"/>
        <v>75000</v>
      </c>
      <c r="F10" s="228">
        <v>15</v>
      </c>
      <c r="G10" s="229">
        <v>15000</v>
      </c>
      <c r="H10" s="95">
        <f t="shared" si="1"/>
        <v>4000</v>
      </c>
      <c r="I10" s="95">
        <f t="shared" si="0"/>
        <v>2250</v>
      </c>
      <c r="J10" s="96"/>
    </row>
    <row r="11" spans="2:10" x14ac:dyDescent="0.25">
      <c r="B11" s="226" t="s">
        <v>85</v>
      </c>
      <c r="C11" s="227">
        <v>1</v>
      </c>
      <c r="D11" s="95">
        <v>65000</v>
      </c>
      <c r="E11" s="95">
        <f t="shared" si="2"/>
        <v>65000</v>
      </c>
      <c r="F11" s="228">
        <v>15</v>
      </c>
      <c r="G11" s="229">
        <v>15000</v>
      </c>
      <c r="H11" s="95">
        <f t="shared" si="1"/>
        <v>3333.3333333333335</v>
      </c>
      <c r="I11" s="95">
        <f t="shared" si="0"/>
        <v>2000</v>
      </c>
      <c r="J11" s="96"/>
    </row>
    <row r="12" spans="2:10" x14ac:dyDescent="0.25">
      <c r="B12" s="226" t="s">
        <v>86</v>
      </c>
      <c r="C12" s="227">
        <v>2</v>
      </c>
      <c r="D12" s="95">
        <v>40000</v>
      </c>
      <c r="E12" s="95">
        <f t="shared" si="2"/>
        <v>80000</v>
      </c>
      <c r="F12" s="228">
        <v>10</v>
      </c>
      <c r="G12" s="229">
        <v>10000</v>
      </c>
      <c r="H12" s="95">
        <f t="shared" si="1"/>
        <v>7000</v>
      </c>
      <c r="I12" s="95">
        <f t="shared" si="0"/>
        <v>2250</v>
      </c>
      <c r="J12" s="96"/>
    </row>
    <row r="13" spans="2:10" x14ac:dyDescent="0.25">
      <c r="B13" s="226" t="s">
        <v>87</v>
      </c>
      <c r="C13" s="227">
        <v>2</v>
      </c>
      <c r="D13" s="95">
        <v>125000</v>
      </c>
      <c r="E13" s="95">
        <f t="shared" si="2"/>
        <v>250000</v>
      </c>
      <c r="F13" s="228">
        <v>15</v>
      </c>
      <c r="G13" s="229">
        <v>24000</v>
      </c>
      <c r="H13" s="95">
        <f t="shared" si="1"/>
        <v>15066.666666666666</v>
      </c>
      <c r="I13" s="95">
        <f t="shared" si="0"/>
        <v>6850</v>
      </c>
      <c r="J13" s="96"/>
    </row>
    <row r="14" spans="2:10" x14ac:dyDescent="0.25">
      <c r="B14" s="226" t="s">
        <v>88</v>
      </c>
      <c r="C14" s="227">
        <v>2</v>
      </c>
      <c r="D14" s="95">
        <v>30000</v>
      </c>
      <c r="E14" s="95">
        <f t="shared" si="2"/>
        <v>60000</v>
      </c>
      <c r="F14" s="228">
        <v>15</v>
      </c>
      <c r="G14" s="229">
        <v>10000</v>
      </c>
      <c r="H14" s="95">
        <f t="shared" si="1"/>
        <v>3333.3333333333335</v>
      </c>
      <c r="I14" s="95">
        <f t="shared" si="0"/>
        <v>1750</v>
      </c>
      <c r="J14" s="96"/>
    </row>
    <row r="15" spans="2:10" x14ac:dyDescent="0.25">
      <c r="B15" s="226" t="s">
        <v>232</v>
      </c>
      <c r="C15" s="227">
        <v>2</v>
      </c>
      <c r="D15" s="95">
        <v>10000</v>
      </c>
      <c r="E15" s="95">
        <f t="shared" si="2"/>
        <v>20000</v>
      </c>
      <c r="F15" s="228">
        <v>15</v>
      </c>
      <c r="G15" s="229">
        <v>1000</v>
      </c>
      <c r="H15" s="95">
        <f t="shared" si="1"/>
        <v>1266.6666666666667</v>
      </c>
      <c r="I15" s="95">
        <f t="shared" si="0"/>
        <v>525</v>
      </c>
      <c r="J15" s="96"/>
    </row>
    <row r="16" spans="2:10" x14ac:dyDescent="0.25">
      <c r="B16" s="226" t="s">
        <v>233</v>
      </c>
      <c r="C16" s="227">
        <v>4</v>
      </c>
      <c r="D16" s="95">
        <v>15000</v>
      </c>
      <c r="E16" s="95">
        <f t="shared" si="2"/>
        <v>60000</v>
      </c>
      <c r="F16" s="228">
        <v>20</v>
      </c>
      <c r="G16" s="229">
        <v>4000</v>
      </c>
      <c r="H16" s="95">
        <f t="shared" si="1"/>
        <v>2800</v>
      </c>
      <c r="I16" s="95">
        <f t="shared" si="0"/>
        <v>1600</v>
      </c>
      <c r="J16" s="96"/>
    </row>
    <row r="17" spans="2:13" x14ac:dyDescent="0.25">
      <c r="B17" s="226" t="s">
        <v>89</v>
      </c>
      <c r="C17" s="227">
        <v>1</v>
      </c>
      <c r="D17" s="95">
        <v>15000</v>
      </c>
      <c r="E17" s="95">
        <f t="shared" si="2"/>
        <v>15000</v>
      </c>
      <c r="F17" s="228">
        <v>20</v>
      </c>
      <c r="G17" s="229">
        <v>1500</v>
      </c>
      <c r="H17" s="95">
        <f t="shared" si="1"/>
        <v>675</v>
      </c>
      <c r="I17" s="95">
        <f t="shared" si="0"/>
        <v>412.5</v>
      </c>
      <c r="J17" s="96"/>
    </row>
    <row r="18" spans="2:13" x14ac:dyDescent="0.25">
      <c r="B18" s="226" t="s">
        <v>90</v>
      </c>
      <c r="C18" s="227">
        <v>1</v>
      </c>
      <c r="D18" s="95">
        <v>12000</v>
      </c>
      <c r="E18" s="95">
        <f t="shared" si="2"/>
        <v>12000</v>
      </c>
      <c r="F18" s="228">
        <v>15</v>
      </c>
      <c r="G18" s="229">
        <v>1500</v>
      </c>
      <c r="H18" s="95">
        <f t="shared" si="1"/>
        <v>700</v>
      </c>
      <c r="I18" s="95">
        <f t="shared" si="0"/>
        <v>337.5</v>
      </c>
      <c r="J18" s="96"/>
    </row>
    <row r="19" spans="2:13" x14ac:dyDescent="0.25">
      <c r="B19" s="226" t="s">
        <v>91</v>
      </c>
      <c r="C19" s="227">
        <v>4</v>
      </c>
      <c r="D19" s="95">
        <v>30000</v>
      </c>
      <c r="E19" s="95">
        <f t="shared" si="2"/>
        <v>120000</v>
      </c>
      <c r="F19" s="228">
        <v>7</v>
      </c>
      <c r="G19" s="229">
        <v>16000</v>
      </c>
      <c r="H19" s="95">
        <f t="shared" si="1"/>
        <v>14857.142857142857</v>
      </c>
      <c r="I19" s="95">
        <f t="shared" si="0"/>
        <v>3400</v>
      </c>
      <c r="J19" s="96"/>
    </row>
    <row r="20" spans="2:13" x14ac:dyDescent="0.25">
      <c r="B20" s="226" t="s">
        <v>92</v>
      </c>
      <c r="C20" s="227">
        <v>2</v>
      </c>
      <c r="D20" s="95">
        <v>10000</v>
      </c>
      <c r="E20" s="95">
        <f t="shared" si="2"/>
        <v>20000</v>
      </c>
      <c r="F20" s="228">
        <v>15</v>
      </c>
      <c r="G20" s="229">
        <v>1000</v>
      </c>
      <c r="H20" s="95">
        <f t="shared" si="1"/>
        <v>1266.6666666666667</v>
      </c>
      <c r="I20" s="95">
        <f t="shared" si="0"/>
        <v>525</v>
      </c>
      <c r="J20" s="96"/>
    </row>
    <row r="21" spans="2:13" x14ac:dyDescent="0.25">
      <c r="B21" s="226" t="s">
        <v>93</v>
      </c>
      <c r="C21" s="227">
        <v>2</v>
      </c>
      <c r="D21" s="95">
        <v>25000</v>
      </c>
      <c r="E21" s="95">
        <f t="shared" si="2"/>
        <v>50000</v>
      </c>
      <c r="F21" s="228">
        <v>10</v>
      </c>
      <c r="G21" s="229">
        <v>1000</v>
      </c>
      <c r="H21" s="95">
        <f t="shared" si="1"/>
        <v>4900</v>
      </c>
      <c r="I21" s="95">
        <f t="shared" si="0"/>
        <v>1275</v>
      </c>
      <c r="J21" s="96"/>
    </row>
    <row r="22" spans="2:13" x14ac:dyDescent="0.25">
      <c r="B22" s="226" t="s">
        <v>94</v>
      </c>
      <c r="C22" s="227">
        <v>1</v>
      </c>
      <c r="D22" s="95">
        <v>5000</v>
      </c>
      <c r="E22" s="95">
        <f t="shared" si="2"/>
        <v>5000</v>
      </c>
      <c r="F22" s="228">
        <v>20</v>
      </c>
      <c r="G22" s="229">
        <v>500</v>
      </c>
      <c r="H22" s="95">
        <f t="shared" si="1"/>
        <v>225</v>
      </c>
      <c r="I22" s="95">
        <f t="shared" si="0"/>
        <v>137.5</v>
      </c>
      <c r="J22" s="96"/>
    </row>
    <row r="23" spans="2:13" ht="16.8" x14ac:dyDescent="0.25">
      <c r="B23" s="226" t="s">
        <v>239</v>
      </c>
      <c r="C23" s="227">
        <v>1</v>
      </c>
      <c r="D23" s="95">
        <v>2800000</v>
      </c>
      <c r="E23" s="95">
        <f t="shared" si="2"/>
        <v>2800000</v>
      </c>
      <c r="F23" s="228">
        <v>30</v>
      </c>
      <c r="G23" s="229">
        <f>D23*0.21</f>
        <v>588000</v>
      </c>
      <c r="H23" s="95">
        <f t="shared" si="1"/>
        <v>73733.333333333328</v>
      </c>
      <c r="I23" s="95">
        <f t="shared" si="0"/>
        <v>84700</v>
      </c>
      <c r="J23" s="180"/>
      <c r="K23" s="181"/>
      <c r="L23" s="91"/>
      <c r="M23" s="182"/>
    </row>
    <row r="24" spans="2:13" x14ac:dyDescent="0.25">
      <c r="B24" s="226" t="s">
        <v>161</v>
      </c>
      <c r="C24" s="227">
        <v>1</v>
      </c>
      <c r="D24" s="95">
        <v>2800000</v>
      </c>
      <c r="E24" s="95">
        <f t="shared" si="2"/>
        <v>2800000</v>
      </c>
      <c r="F24" s="228">
        <v>30</v>
      </c>
      <c r="G24" s="229">
        <f>D24*0.04</f>
        <v>112000</v>
      </c>
      <c r="H24" s="95">
        <f t="shared" si="1"/>
        <v>89600</v>
      </c>
      <c r="I24" s="95">
        <f t="shared" si="0"/>
        <v>72800</v>
      </c>
      <c r="J24" s="180"/>
      <c r="K24" s="181"/>
      <c r="L24" s="91"/>
      <c r="M24" s="182"/>
    </row>
    <row r="25" spans="2:13" x14ac:dyDescent="0.25">
      <c r="B25" s="226" t="s">
        <v>159</v>
      </c>
      <c r="C25" s="227">
        <v>1</v>
      </c>
      <c r="D25" s="95">
        <v>850000</v>
      </c>
      <c r="E25" s="95">
        <f t="shared" si="2"/>
        <v>850000</v>
      </c>
      <c r="F25" s="228">
        <v>30</v>
      </c>
      <c r="G25" s="229">
        <f>D25*0.04</f>
        <v>34000</v>
      </c>
      <c r="H25" s="95">
        <f t="shared" ref="H25" si="3">(E25-G25)/F25</f>
        <v>27200</v>
      </c>
      <c r="I25" s="95">
        <f t="shared" si="0"/>
        <v>22100</v>
      </c>
      <c r="J25" s="180"/>
      <c r="K25" s="181"/>
      <c r="L25" s="91"/>
      <c r="M25" s="182"/>
    </row>
    <row r="26" spans="2:13" x14ac:dyDescent="0.25">
      <c r="B26" s="226" t="s">
        <v>95</v>
      </c>
      <c r="C26" s="227">
        <v>1</v>
      </c>
      <c r="D26" s="95">
        <v>35000</v>
      </c>
      <c r="E26" s="95">
        <f t="shared" si="2"/>
        <v>35000</v>
      </c>
      <c r="F26" s="228">
        <v>10</v>
      </c>
      <c r="G26" s="229">
        <v>500</v>
      </c>
      <c r="H26" s="95">
        <f t="shared" si="1"/>
        <v>3450</v>
      </c>
      <c r="I26" s="95">
        <f t="shared" si="0"/>
        <v>887.5</v>
      </c>
      <c r="J26" s="96"/>
    </row>
    <row r="27" spans="2:13" x14ac:dyDescent="0.25">
      <c r="B27" s="226" t="s">
        <v>96</v>
      </c>
      <c r="C27" s="227">
        <v>2</v>
      </c>
      <c r="D27" s="95">
        <v>25000</v>
      </c>
      <c r="E27" s="95">
        <f t="shared" si="2"/>
        <v>50000</v>
      </c>
      <c r="F27" s="228">
        <v>10</v>
      </c>
      <c r="G27" s="229">
        <v>1000</v>
      </c>
      <c r="H27" s="95">
        <f t="shared" si="1"/>
        <v>4900</v>
      </c>
      <c r="I27" s="95">
        <f t="shared" si="0"/>
        <v>1275</v>
      </c>
      <c r="J27" s="96"/>
    </row>
    <row r="28" spans="2:13" x14ac:dyDescent="0.25">
      <c r="B28" s="226" t="s">
        <v>97</v>
      </c>
      <c r="C28" s="227">
        <v>2</v>
      </c>
      <c r="D28" s="95">
        <v>20000</v>
      </c>
      <c r="E28" s="95">
        <f t="shared" si="2"/>
        <v>40000</v>
      </c>
      <c r="F28" s="228">
        <v>10</v>
      </c>
      <c r="G28" s="229">
        <v>1000</v>
      </c>
      <c r="H28" s="95">
        <f t="shared" si="1"/>
        <v>3900</v>
      </c>
      <c r="I28" s="95">
        <f t="shared" si="0"/>
        <v>1025</v>
      </c>
      <c r="J28" s="96"/>
    </row>
    <row r="29" spans="2:13" x14ac:dyDescent="0.25">
      <c r="B29" s="226" t="s">
        <v>98</v>
      </c>
      <c r="C29" s="227">
        <v>2</v>
      </c>
      <c r="D29" s="95">
        <v>5000</v>
      </c>
      <c r="E29" s="95">
        <f t="shared" si="2"/>
        <v>10000</v>
      </c>
      <c r="F29" s="228">
        <v>10</v>
      </c>
      <c r="G29" s="229">
        <v>2500</v>
      </c>
      <c r="H29" s="95">
        <f t="shared" si="1"/>
        <v>750</v>
      </c>
      <c r="I29" s="95">
        <f t="shared" si="0"/>
        <v>312.5</v>
      </c>
      <c r="J29" s="96"/>
    </row>
    <row r="30" spans="2:13" x14ac:dyDescent="0.25">
      <c r="B30" s="226" t="s">
        <v>99</v>
      </c>
      <c r="C30" s="227">
        <v>1</v>
      </c>
      <c r="D30" s="95">
        <v>20000</v>
      </c>
      <c r="E30" s="95">
        <f t="shared" si="2"/>
        <v>20000</v>
      </c>
      <c r="F30" s="228">
        <v>10</v>
      </c>
      <c r="G30" s="229">
        <v>500</v>
      </c>
      <c r="H30" s="95">
        <f t="shared" si="1"/>
        <v>1950</v>
      </c>
      <c r="I30" s="95">
        <f t="shared" si="0"/>
        <v>512.5</v>
      </c>
      <c r="J30" s="96"/>
    </row>
    <row r="31" spans="2:13" x14ac:dyDescent="0.25">
      <c r="B31" s="226" t="s">
        <v>100</v>
      </c>
      <c r="C31" s="227">
        <v>2</v>
      </c>
      <c r="D31" s="95">
        <v>45000</v>
      </c>
      <c r="E31" s="95">
        <f t="shared" si="2"/>
        <v>90000</v>
      </c>
      <c r="F31" s="228">
        <v>15</v>
      </c>
      <c r="G31" s="229">
        <v>3000</v>
      </c>
      <c r="H31" s="95">
        <f t="shared" si="1"/>
        <v>5800</v>
      </c>
      <c r="I31" s="95">
        <f t="shared" si="0"/>
        <v>2325</v>
      </c>
      <c r="J31" s="96"/>
    </row>
    <row r="32" spans="2:13" x14ac:dyDescent="0.25">
      <c r="B32" s="226" t="s">
        <v>234</v>
      </c>
      <c r="C32" s="227">
        <v>1</v>
      </c>
      <c r="D32" s="95">
        <v>25000</v>
      </c>
      <c r="E32" s="95">
        <f t="shared" si="2"/>
        <v>25000</v>
      </c>
      <c r="F32" s="228">
        <v>15</v>
      </c>
      <c r="G32" s="229">
        <v>750</v>
      </c>
      <c r="H32" s="95">
        <f t="shared" si="1"/>
        <v>1616.6666666666667</v>
      </c>
      <c r="I32" s="95">
        <f t="shared" si="0"/>
        <v>643.75</v>
      </c>
    </row>
    <row r="33" spans="2:11" x14ac:dyDescent="0.25">
      <c r="B33" s="226" t="s">
        <v>235</v>
      </c>
      <c r="C33" s="227">
        <v>1</v>
      </c>
      <c r="D33" s="95">
        <v>15000</v>
      </c>
      <c r="E33" s="95">
        <f t="shared" si="2"/>
        <v>15000</v>
      </c>
      <c r="F33" s="228">
        <v>15</v>
      </c>
      <c r="G33" s="229">
        <v>450</v>
      </c>
      <c r="H33" s="95">
        <f t="shared" si="1"/>
        <v>970</v>
      </c>
      <c r="I33" s="95">
        <f t="shared" si="0"/>
        <v>386.25</v>
      </c>
    </row>
    <row r="34" spans="2:11" ht="27.6" x14ac:dyDescent="0.25">
      <c r="B34" s="226" t="s">
        <v>172</v>
      </c>
      <c r="C34" s="227">
        <v>10</v>
      </c>
      <c r="D34" s="95">
        <v>15000</v>
      </c>
      <c r="E34" s="95">
        <f t="shared" si="2"/>
        <v>150000</v>
      </c>
      <c r="F34" s="228">
        <v>15</v>
      </c>
      <c r="G34" s="229">
        <v>4500</v>
      </c>
      <c r="H34" s="95">
        <f t="shared" si="1"/>
        <v>9700</v>
      </c>
      <c r="I34" s="95">
        <f t="shared" si="0"/>
        <v>3862.5</v>
      </c>
    </row>
    <row r="35" spans="2:11" x14ac:dyDescent="0.25">
      <c r="B35" s="226" t="s">
        <v>173</v>
      </c>
      <c r="C35" s="227">
        <v>1</v>
      </c>
      <c r="D35" s="95">
        <v>50000</v>
      </c>
      <c r="E35" s="95">
        <f t="shared" si="2"/>
        <v>50000</v>
      </c>
      <c r="F35" s="228">
        <v>30</v>
      </c>
      <c r="G35" s="229">
        <v>0</v>
      </c>
      <c r="H35" s="95">
        <f t="shared" si="1"/>
        <v>1666.6666666666667</v>
      </c>
      <c r="I35" s="95">
        <f t="shared" si="0"/>
        <v>1250</v>
      </c>
    </row>
    <row r="36" spans="2:11" x14ac:dyDescent="0.25">
      <c r="B36" s="226" t="s">
        <v>174</v>
      </c>
      <c r="C36" s="227">
        <v>1</v>
      </c>
      <c r="D36" s="95">
        <v>20000</v>
      </c>
      <c r="E36" s="95">
        <f t="shared" si="2"/>
        <v>20000</v>
      </c>
      <c r="F36" s="228">
        <v>30</v>
      </c>
      <c r="G36" s="229">
        <v>0</v>
      </c>
      <c r="H36" s="95">
        <f t="shared" si="1"/>
        <v>666.66666666666663</v>
      </c>
      <c r="I36" s="95">
        <f t="shared" si="0"/>
        <v>500</v>
      </c>
    </row>
    <row r="37" spans="2:11" x14ac:dyDescent="0.25">
      <c r="B37" s="226"/>
      <c r="C37" s="227"/>
      <c r="D37" s="95"/>
      <c r="E37" s="95"/>
      <c r="F37" s="228"/>
      <c r="G37" s="229"/>
      <c r="H37" s="95"/>
      <c r="I37" s="95"/>
    </row>
    <row r="38" spans="2:11" x14ac:dyDescent="0.25">
      <c r="B38" s="226" t="s">
        <v>132</v>
      </c>
      <c r="C38" s="227">
        <v>1</v>
      </c>
      <c r="D38" s="95">
        <f>4150*C43</f>
        <v>2739000</v>
      </c>
      <c r="E38" s="95">
        <f>C38*D38</f>
        <v>2739000</v>
      </c>
      <c r="F38" s="228">
        <v>30</v>
      </c>
      <c r="G38" s="229">
        <v>0</v>
      </c>
      <c r="H38" s="95">
        <f>(E38-G38)/F38</f>
        <v>91300</v>
      </c>
      <c r="I38" s="95">
        <f>((E38+G38)/2)*$C$42</f>
        <v>68475</v>
      </c>
    </row>
    <row r="39" spans="2:11" s="20" customFormat="1" x14ac:dyDescent="0.25">
      <c r="B39" s="55"/>
      <c r="C39" s="208"/>
      <c r="D39" s="207"/>
      <c r="E39" s="207"/>
      <c r="F39" s="207"/>
      <c r="G39" s="95"/>
      <c r="H39" s="95"/>
      <c r="I39" s="95"/>
    </row>
    <row r="40" spans="2:11" x14ac:dyDescent="0.25">
      <c r="B40" s="222" t="s">
        <v>101</v>
      </c>
      <c r="C40" s="209"/>
      <c r="D40" s="97"/>
      <c r="E40" s="97">
        <f>SUM(E5:E38)</f>
        <v>11491000</v>
      </c>
      <c r="F40" s="210"/>
      <c r="G40" s="211"/>
      <c r="H40" s="98">
        <f>SUM(H5:H38)</f>
        <v>450127.1428571429</v>
      </c>
      <c r="I40" s="98">
        <f>SUM(I5:I38)</f>
        <v>310492.5</v>
      </c>
    </row>
    <row r="41" spans="2:11" x14ac:dyDescent="0.25">
      <c r="B41" s="212" t="s">
        <v>110</v>
      </c>
      <c r="C41" s="213"/>
      <c r="D41" s="214"/>
      <c r="E41" s="214"/>
      <c r="F41" s="215"/>
      <c r="G41" s="216"/>
      <c r="H41" s="99">
        <f>H40/C43</f>
        <v>682.01082251082255</v>
      </c>
      <c r="I41" s="99">
        <f>I40/C43</f>
        <v>470.44318181818181</v>
      </c>
    </row>
    <row r="42" spans="2:11" x14ac:dyDescent="0.25">
      <c r="B42" s="55" t="s">
        <v>102</v>
      </c>
      <c r="C42" s="230">
        <v>0.05</v>
      </c>
      <c r="D42" s="207"/>
      <c r="E42" s="207"/>
      <c r="F42" s="217"/>
      <c r="G42" s="217"/>
      <c r="H42" s="207"/>
      <c r="I42" s="207"/>
    </row>
    <row r="43" spans="2:11" x14ac:dyDescent="0.25">
      <c r="B43" s="218" t="s">
        <v>103</v>
      </c>
      <c r="C43" s="231">
        <v>660</v>
      </c>
      <c r="D43" s="219"/>
      <c r="E43" s="219"/>
      <c r="F43" s="220"/>
      <c r="G43" s="220"/>
      <c r="H43" s="219"/>
      <c r="I43" s="219"/>
    </row>
    <row r="44" spans="2:11" x14ac:dyDescent="0.25">
      <c r="B44" s="221" t="s">
        <v>73</v>
      </c>
      <c r="C44" s="208"/>
      <c r="D44" s="207"/>
      <c r="E44" s="207"/>
      <c r="F44" s="217"/>
      <c r="G44" s="217"/>
      <c r="H44" s="207"/>
      <c r="I44" s="207"/>
    </row>
    <row r="45" spans="2:11" ht="14.25" customHeight="1" x14ac:dyDescent="0.25">
      <c r="B45" s="258" t="s">
        <v>170</v>
      </c>
      <c r="C45" s="258"/>
      <c r="D45" s="258"/>
      <c r="E45" s="258"/>
      <c r="F45" s="258"/>
      <c r="G45" s="258"/>
      <c r="H45" s="192"/>
      <c r="I45" s="192"/>
      <c r="K45" s="20"/>
    </row>
    <row r="46" spans="2:11" ht="12" customHeight="1" x14ac:dyDescent="0.25">
      <c r="B46" s="90" t="s">
        <v>171</v>
      </c>
      <c r="C46" s="193"/>
      <c r="D46" s="78"/>
      <c r="E46" s="78"/>
      <c r="F46" s="78"/>
      <c r="G46" s="78"/>
      <c r="H46" s="78"/>
      <c r="I46" s="78"/>
      <c r="K46" s="20"/>
    </row>
    <row r="47" spans="2:11" ht="33" customHeight="1" x14ac:dyDescent="0.25">
      <c r="B47" s="255" t="s">
        <v>236</v>
      </c>
      <c r="C47" s="255"/>
      <c r="D47" s="255"/>
      <c r="E47" s="255"/>
      <c r="F47" s="255"/>
      <c r="G47" s="255"/>
      <c r="H47" s="255"/>
      <c r="I47" s="255"/>
    </row>
    <row r="50" spans="5:5" x14ac:dyDescent="0.25">
      <c r="E50" s="96"/>
    </row>
  </sheetData>
  <sheetProtection sheet="1" objects="1" scenarios="1"/>
  <protectedRanges>
    <protectedRange sqref="A1:XFD2 A3:D44 F3:G44 A45:XFD50" name="Range1"/>
  </protectedRanges>
  <customSheetViews>
    <customSheetView guid="{76B766A5-443C-4C54-86C8-F5C661F06BFC}" topLeftCell="A28">
      <selection activeCell="B47" sqref="B47:I47"/>
      <pageMargins left="0.7" right="0.7" top="0.75" bottom="0.75" header="0.3" footer="0.3"/>
      <pageSetup orientation="portrait" horizontalDpi="1200" verticalDpi="1200" r:id="rId1"/>
    </customSheetView>
    <customSheetView guid="{4DF746F6-C3F2-4BEF-B84D-60D120277636}" topLeftCell="A25">
      <selection activeCell="B47" sqref="B47:I47"/>
      <pageMargins left="0.7" right="0.7" top="0.75" bottom="0.75" header="0.3" footer="0.3"/>
      <pageSetup orientation="portrait" horizontalDpi="1200" verticalDpi="1200" r:id="rId2"/>
    </customSheetView>
  </customSheetViews>
  <mergeCells count="11">
    <mergeCell ref="B47:I47"/>
    <mergeCell ref="H3:H4"/>
    <mergeCell ref="I3:I4"/>
    <mergeCell ref="B45:G45"/>
    <mergeCell ref="B2:I2"/>
    <mergeCell ref="B3:B4"/>
    <mergeCell ref="D3:D4"/>
    <mergeCell ref="F3:F4"/>
    <mergeCell ref="G3:G4"/>
    <mergeCell ref="C3:C4"/>
    <mergeCell ref="E3:E4"/>
  </mergeCells>
  <pageMargins left="0.7" right="0.7" top="0.75" bottom="0.75" header="0.3" footer="0.3"/>
  <pageSetup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30"/>
  <sheetViews>
    <sheetView workbookViewId="0">
      <selection activeCell="E16" sqref="E16"/>
    </sheetView>
  </sheetViews>
  <sheetFormatPr defaultColWidth="9.109375" defaultRowHeight="13.8" x14ac:dyDescent="0.25"/>
  <cols>
    <col min="1" max="1" width="6.6640625" style="4" customWidth="1"/>
    <col min="2" max="2" width="34" style="4" customWidth="1"/>
    <col min="3" max="3" width="13.6640625" style="4" customWidth="1"/>
    <col min="4" max="4" width="15" style="4" customWidth="1"/>
    <col min="5" max="5" width="17.44140625" style="4" customWidth="1"/>
    <col min="6" max="6" width="3.88671875" style="4" customWidth="1"/>
    <col min="7" max="16384" width="9.109375" style="4"/>
  </cols>
  <sheetData>
    <row r="2" spans="1:7" ht="37.5" customHeight="1" x14ac:dyDescent="0.3">
      <c r="B2" s="262" t="s">
        <v>156</v>
      </c>
      <c r="C2" s="262"/>
      <c r="D2" s="262"/>
      <c r="E2" s="262"/>
    </row>
    <row r="3" spans="1:7" ht="18" customHeight="1" x14ac:dyDescent="0.25">
      <c r="A3" s="100"/>
      <c r="B3" s="101"/>
      <c r="C3" s="263" t="s">
        <v>130</v>
      </c>
      <c r="D3" s="263"/>
      <c r="E3" s="264" t="s">
        <v>175</v>
      </c>
    </row>
    <row r="4" spans="1:7" x14ac:dyDescent="0.25">
      <c r="A4" s="100"/>
      <c r="B4" s="102"/>
      <c r="C4" s="103" t="s">
        <v>138</v>
      </c>
      <c r="D4" s="103" t="s">
        <v>111</v>
      </c>
      <c r="E4" s="265"/>
      <c r="G4" s="104"/>
    </row>
    <row r="5" spans="1:7" x14ac:dyDescent="0.25">
      <c r="A5" s="100"/>
      <c r="B5" s="105" t="s">
        <v>131</v>
      </c>
      <c r="C5" s="106"/>
      <c r="D5" s="106"/>
      <c r="E5" s="106"/>
    </row>
    <row r="6" spans="1:7" x14ac:dyDescent="0.25">
      <c r="B6" s="107" t="s">
        <v>136</v>
      </c>
      <c r="C6" s="108">
        <f>15000*660</f>
        <v>9900000</v>
      </c>
      <c r="D6" s="108"/>
    </row>
    <row r="7" spans="1:7" x14ac:dyDescent="0.25">
      <c r="B7" s="107" t="s">
        <v>137</v>
      </c>
      <c r="C7" s="108"/>
      <c r="D7" s="108">
        <f>'Machinery Etc'!E40-'Machinery Etc'!E38</f>
        <v>8752000</v>
      </c>
    </row>
    <row r="8" spans="1:7" x14ac:dyDescent="0.25">
      <c r="B8" s="107" t="s">
        <v>132</v>
      </c>
      <c r="C8" s="108"/>
      <c r="D8" s="108">
        <f>'Machinery Etc'!E38</f>
        <v>2739000</v>
      </c>
    </row>
    <row r="9" spans="1:7" ht="16.8" x14ac:dyDescent="0.25">
      <c r="B9" s="107" t="s">
        <v>176</v>
      </c>
      <c r="C9" s="108">
        <f>Establishment!C27*600</f>
        <v>4926690</v>
      </c>
      <c r="D9" s="108">
        <f>('Hop Production'!D17+'Hop Production'!D22+'Hop Production'!D23+'Hop Production'!D25+'Hop Production'!D26+'Hop Production'!D27+'Hop Production'!D28)*600</f>
        <v>3800183.25</v>
      </c>
      <c r="E9" s="108">
        <f>('Hop Production'!E17+'Hop Production'!E22+'Hop Production'!E23+'Hop Production'!E25+'Hop Production'!E26+'Hop Production'!E27+'Hop Production'!E28)*600</f>
        <v>3977670</v>
      </c>
    </row>
    <row r="10" spans="1:7" x14ac:dyDescent="0.25">
      <c r="B10" s="109" t="s">
        <v>133</v>
      </c>
      <c r="C10" s="110">
        <f>SUM(C6:C9)</f>
        <v>14826690</v>
      </c>
      <c r="D10" s="110">
        <f>SUM(D6:D9)</f>
        <v>15291183.25</v>
      </c>
      <c r="E10" s="110">
        <f>SUM(E6:E9)</f>
        <v>3977670</v>
      </c>
    </row>
    <row r="11" spans="1:7" x14ac:dyDescent="0.25">
      <c r="D11" s="110"/>
      <c r="E11" s="110"/>
    </row>
    <row r="12" spans="1:7" x14ac:dyDescent="0.25">
      <c r="B12" s="109" t="s">
        <v>134</v>
      </c>
      <c r="C12" s="110">
        <v>0</v>
      </c>
      <c r="D12" s="110">
        <f>'Hop Production'!D40*600</f>
        <v>5366400</v>
      </c>
      <c r="E12" s="110">
        <f>'Hop Production'!E40*600</f>
        <v>6708000</v>
      </c>
    </row>
    <row r="13" spans="1:7" x14ac:dyDescent="0.25">
      <c r="D13" s="110"/>
      <c r="E13" s="110"/>
    </row>
    <row r="14" spans="1:7" x14ac:dyDescent="0.25">
      <c r="B14" s="111" t="s">
        <v>135</v>
      </c>
      <c r="C14" s="112">
        <f>C10-C12</f>
        <v>14826690</v>
      </c>
      <c r="D14" s="112">
        <f>D10-D12</f>
        <v>9924783.25</v>
      </c>
      <c r="E14" s="112">
        <f>E10-E12</f>
        <v>-2730330</v>
      </c>
    </row>
    <row r="15" spans="1:7" x14ac:dyDescent="0.25">
      <c r="B15" s="113" t="s">
        <v>73</v>
      </c>
    </row>
    <row r="16" spans="1:7" ht="15.6" x14ac:dyDescent="0.25">
      <c r="B16" s="90" t="s">
        <v>177</v>
      </c>
    </row>
    <row r="17" spans="2:6" x14ac:dyDescent="0.25">
      <c r="B17" s="90" t="s">
        <v>178</v>
      </c>
    </row>
    <row r="18" spans="2:6" x14ac:dyDescent="0.25">
      <c r="B18" s="114"/>
    </row>
    <row r="19" spans="2:6" ht="13.2" customHeight="1" x14ac:dyDescent="0.3">
      <c r="B19" s="114"/>
      <c r="E19" s="115"/>
    </row>
    <row r="20" spans="2:6" x14ac:dyDescent="0.25">
      <c r="C20" s="108"/>
      <c r="D20" s="108"/>
    </row>
    <row r="21" spans="2:6" x14ac:dyDescent="0.25">
      <c r="C21" s="116"/>
      <c r="D21" s="108"/>
      <c r="E21" s="117"/>
    </row>
    <row r="22" spans="2:6" x14ac:dyDescent="0.25">
      <c r="D22" s="118"/>
      <c r="E22" s="117"/>
    </row>
    <row r="23" spans="2:6" s="121" customFormat="1" x14ac:dyDescent="0.25">
      <c r="B23" s="119"/>
      <c r="C23" s="108"/>
      <c r="D23" s="120"/>
      <c r="E23" s="120"/>
    </row>
    <row r="24" spans="2:6" x14ac:dyDescent="0.25">
      <c r="E24" s="117"/>
      <c r="F24" s="122"/>
    </row>
    <row r="25" spans="2:6" x14ac:dyDescent="0.25">
      <c r="E25" s="117"/>
    </row>
    <row r="26" spans="2:6" x14ac:dyDescent="0.25">
      <c r="E26" s="117"/>
    </row>
    <row r="27" spans="2:6" x14ac:dyDescent="0.25">
      <c r="E27" s="117"/>
    </row>
    <row r="28" spans="2:6" x14ac:dyDescent="0.25">
      <c r="E28" s="117"/>
    </row>
    <row r="29" spans="2:6" x14ac:dyDescent="0.25">
      <c r="E29" s="123"/>
    </row>
    <row r="30" spans="2:6" x14ac:dyDescent="0.25">
      <c r="E30" s="123"/>
    </row>
  </sheetData>
  <sheetProtection sheet="1" objects="1" scenarios="1"/>
  <customSheetViews>
    <customSheetView guid="{76B766A5-443C-4C54-86C8-F5C661F06BFC}">
      <pageMargins left="0.7" right="0.7" top="0.75" bottom="0.75" header="0.3" footer="0.3"/>
    </customSheetView>
    <customSheetView guid="{4DF746F6-C3F2-4BEF-B84D-60D120277636}">
      <pageMargins left="0.7" right="0.7" top="0.75" bottom="0.75" header="0.3" footer="0.3"/>
    </customSheetView>
  </customSheetViews>
  <mergeCells count="3">
    <mergeCell ref="B2:E2"/>
    <mergeCell ref="C3:D3"/>
    <mergeCell ref="E3: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
  <sheetViews>
    <sheetView workbookViewId="0">
      <selection activeCell="I32" sqref="I32"/>
    </sheetView>
  </sheetViews>
  <sheetFormatPr defaultRowHeight="13.8" x14ac:dyDescent="0.25"/>
  <cols>
    <col min="1" max="1" width="7.6640625" style="125" customWidth="1"/>
    <col min="2" max="2" width="29.6640625" style="125" customWidth="1"/>
    <col min="3" max="3" width="12.88671875" style="125" customWidth="1"/>
    <col min="4" max="4" width="5" style="125" customWidth="1"/>
    <col min="5" max="5" width="5.109375" style="125" customWidth="1"/>
    <col min="6" max="6" width="28.88671875" style="125" customWidth="1"/>
    <col min="7" max="7" width="13" style="125" customWidth="1"/>
    <col min="8" max="256" width="9.109375" style="125"/>
    <col min="257" max="257" width="38.109375" style="125" customWidth="1"/>
    <col min="258" max="258" width="28.5546875" style="125" customWidth="1"/>
    <col min="259" max="259" width="12.88671875" style="125" customWidth="1"/>
    <col min="260" max="260" width="5" style="125" customWidth="1"/>
    <col min="261" max="261" width="5.109375" style="125" customWidth="1"/>
    <col min="262" max="262" width="28.88671875" style="125" customWidth="1"/>
    <col min="263" max="263" width="13" style="125" customWidth="1"/>
    <col min="264" max="512" width="9.109375" style="125"/>
    <col min="513" max="513" width="38.109375" style="125" customWidth="1"/>
    <col min="514" max="514" width="28.5546875" style="125" customWidth="1"/>
    <col min="515" max="515" width="12.88671875" style="125" customWidth="1"/>
    <col min="516" max="516" width="5" style="125" customWidth="1"/>
    <col min="517" max="517" width="5.109375" style="125" customWidth="1"/>
    <col min="518" max="518" width="28.88671875" style="125" customWidth="1"/>
    <col min="519" max="519" width="13" style="125" customWidth="1"/>
    <col min="520" max="768" width="9.109375" style="125"/>
    <col min="769" max="769" width="38.109375" style="125" customWidth="1"/>
    <col min="770" max="770" width="28.5546875" style="125" customWidth="1"/>
    <col min="771" max="771" width="12.88671875" style="125" customWidth="1"/>
    <col min="772" max="772" width="5" style="125" customWidth="1"/>
    <col min="773" max="773" width="5.109375" style="125" customWidth="1"/>
    <col min="774" max="774" width="28.88671875" style="125" customWidth="1"/>
    <col min="775" max="775" width="13" style="125" customWidth="1"/>
    <col min="776" max="1024" width="9.109375" style="125"/>
    <col min="1025" max="1025" width="38.109375" style="125" customWidth="1"/>
    <col min="1026" max="1026" width="28.5546875" style="125" customWidth="1"/>
    <col min="1027" max="1027" width="12.88671875" style="125" customWidth="1"/>
    <col min="1028" max="1028" width="5" style="125" customWidth="1"/>
    <col min="1029" max="1029" width="5.109375" style="125" customWidth="1"/>
    <col min="1030" max="1030" width="28.88671875" style="125" customWidth="1"/>
    <col min="1031" max="1031" width="13" style="125" customWidth="1"/>
    <col min="1032" max="1280" width="9.109375" style="125"/>
    <col min="1281" max="1281" width="38.109375" style="125" customWidth="1"/>
    <col min="1282" max="1282" width="28.5546875" style="125" customWidth="1"/>
    <col min="1283" max="1283" width="12.88671875" style="125" customWidth="1"/>
    <col min="1284" max="1284" width="5" style="125" customWidth="1"/>
    <col min="1285" max="1285" width="5.109375" style="125" customWidth="1"/>
    <col min="1286" max="1286" width="28.88671875" style="125" customWidth="1"/>
    <col min="1287" max="1287" width="13" style="125" customWidth="1"/>
    <col min="1288" max="1536" width="9.109375" style="125"/>
    <col min="1537" max="1537" width="38.109375" style="125" customWidth="1"/>
    <col min="1538" max="1538" width="28.5546875" style="125" customWidth="1"/>
    <col min="1539" max="1539" width="12.88671875" style="125" customWidth="1"/>
    <col min="1540" max="1540" width="5" style="125" customWidth="1"/>
    <col min="1541" max="1541" width="5.109375" style="125" customWidth="1"/>
    <col min="1542" max="1542" width="28.88671875" style="125" customWidth="1"/>
    <col min="1543" max="1543" width="13" style="125" customWidth="1"/>
    <col min="1544" max="1792" width="9.109375" style="125"/>
    <col min="1793" max="1793" width="38.109375" style="125" customWidth="1"/>
    <col min="1794" max="1794" width="28.5546875" style="125" customWidth="1"/>
    <col min="1795" max="1795" width="12.88671875" style="125" customWidth="1"/>
    <col min="1796" max="1796" width="5" style="125" customWidth="1"/>
    <col min="1797" max="1797" width="5.109375" style="125" customWidth="1"/>
    <col min="1798" max="1798" width="28.88671875" style="125" customWidth="1"/>
    <col min="1799" max="1799" width="13" style="125" customWidth="1"/>
    <col min="1800" max="2048" width="9.109375" style="125"/>
    <col min="2049" max="2049" width="38.109375" style="125" customWidth="1"/>
    <col min="2050" max="2050" width="28.5546875" style="125" customWidth="1"/>
    <col min="2051" max="2051" width="12.88671875" style="125" customWidth="1"/>
    <col min="2052" max="2052" width="5" style="125" customWidth="1"/>
    <col min="2053" max="2053" width="5.109375" style="125" customWidth="1"/>
    <col min="2054" max="2054" width="28.88671875" style="125" customWidth="1"/>
    <col min="2055" max="2055" width="13" style="125" customWidth="1"/>
    <col min="2056" max="2304" width="9.109375" style="125"/>
    <col min="2305" max="2305" width="38.109375" style="125" customWidth="1"/>
    <col min="2306" max="2306" width="28.5546875" style="125" customWidth="1"/>
    <col min="2307" max="2307" width="12.88671875" style="125" customWidth="1"/>
    <col min="2308" max="2308" width="5" style="125" customWidth="1"/>
    <col min="2309" max="2309" width="5.109375" style="125" customWidth="1"/>
    <col min="2310" max="2310" width="28.88671875" style="125" customWidth="1"/>
    <col min="2311" max="2311" width="13" style="125" customWidth="1"/>
    <col min="2312" max="2560" width="9.109375" style="125"/>
    <col min="2561" max="2561" width="38.109375" style="125" customWidth="1"/>
    <col min="2562" max="2562" width="28.5546875" style="125" customWidth="1"/>
    <col min="2563" max="2563" width="12.88671875" style="125" customWidth="1"/>
    <col min="2564" max="2564" width="5" style="125" customWidth="1"/>
    <col min="2565" max="2565" width="5.109375" style="125" customWidth="1"/>
    <col min="2566" max="2566" width="28.88671875" style="125" customWidth="1"/>
    <col min="2567" max="2567" width="13" style="125" customWidth="1"/>
    <col min="2568" max="2816" width="9.109375" style="125"/>
    <col min="2817" max="2817" width="38.109375" style="125" customWidth="1"/>
    <col min="2818" max="2818" width="28.5546875" style="125" customWidth="1"/>
    <col min="2819" max="2819" width="12.88671875" style="125" customWidth="1"/>
    <col min="2820" max="2820" width="5" style="125" customWidth="1"/>
    <col min="2821" max="2821" width="5.109375" style="125" customWidth="1"/>
    <col min="2822" max="2822" width="28.88671875" style="125" customWidth="1"/>
    <col min="2823" max="2823" width="13" style="125" customWidth="1"/>
    <col min="2824" max="3072" width="9.109375" style="125"/>
    <col min="3073" max="3073" width="38.109375" style="125" customWidth="1"/>
    <col min="3074" max="3074" width="28.5546875" style="125" customWidth="1"/>
    <col min="3075" max="3075" width="12.88671875" style="125" customWidth="1"/>
    <col min="3076" max="3076" width="5" style="125" customWidth="1"/>
    <col min="3077" max="3077" width="5.109375" style="125" customWidth="1"/>
    <col min="3078" max="3078" width="28.88671875" style="125" customWidth="1"/>
    <col min="3079" max="3079" width="13" style="125" customWidth="1"/>
    <col min="3080" max="3328" width="9.109375" style="125"/>
    <col min="3329" max="3329" width="38.109375" style="125" customWidth="1"/>
    <col min="3330" max="3330" width="28.5546875" style="125" customWidth="1"/>
    <col min="3331" max="3331" width="12.88671875" style="125" customWidth="1"/>
    <col min="3332" max="3332" width="5" style="125" customWidth="1"/>
    <col min="3333" max="3333" width="5.109375" style="125" customWidth="1"/>
    <col min="3334" max="3334" width="28.88671875" style="125" customWidth="1"/>
    <col min="3335" max="3335" width="13" style="125" customWidth="1"/>
    <col min="3336" max="3584" width="9.109375" style="125"/>
    <col min="3585" max="3585" width="38.109375" style="125" customWidth="1"/>
    <col min="3586" max="3586" width="28.5546875" style="125" customWidth="1"/>
    <col min="3587" max="3587" width="12.88671875" style="125" customWidth="1"/>
    <col min="3588" max="3588" width="5" style="125" customWidth="1"/>
    <col min="3589" max="3589" width="5.109375" style="125" customWidth="1"/>
    <col min="3590" max="3590" width="28.88671875" style="125" customWidth="1"/>
    <col min="3591" max="3591" width="13" style="125" customWidth="1"/>
    <col min="3592" max="3840" width="9.109375" style="125"/>
    <col min="3841" max="3841" width="38.109375" style="125" customWidth="1"/>
    <col min="3842" max="3842" width="28.5546875" style="125" customWidth="1"/>
    <col min="3843" max="3843" width="12.88671875" style="125" customWidth="1"/>
    <col min="3844" max="3844" width="5" style="125" customWidth="1"/>
    <col min="3845" max="3845" width="5.109375" style="125" customWidth="1"/>
    <col min="3846" max="3846" width="28.88671875" style="125" customWidth="1"/>
    <col min="3847" max="3847" width="13" style="125" customWidth="1"/>
    <col min="3848" max="4096" width="9.109375" style="125"/>
    <col min="4097" max="4097" width="38.109375" style="125" customWidth="1"/>
    <col min="4098" max="4098" width="28.5546875" style="125" customWidth="1"/>
    <col min="4099" max="4099" width="12.88671875" style="125" customWidth="1"/>
    <col min="4100" max="4100" width="5" style="125" customWidth="1"/>
    <col min="4101" max="4101" width="5.109375" style="125" customWidth="1"/>
    <col min="4102" max="4102" width="28.88671875" style="125" customWidth="1"/>
    <col min="4103" max="4103" width="13" style="125" customWidth="1"/>
    <col min="4104" max="4352" width="9.109375" style="125"/>
    <col min="4353" max="4353" width="38.109375" style="125" customWidth="1"/>
    <col min="4354" max="4354" width="28.5546875" style="125" customWidth="1"/>
    <col min="4355" max="4355" width="12.88671875" style="125" customWidth="1"/>
    <col min="4356" max="4356" width="5" style="125" customWidth="1"/>
    <col min="4357" max="4357" width="5.109375" style="125" customWidth="1"/>
    <col min="4358" max="4358" width="28.88671875" style="125" customWidth="1"/>
    <col min="4359" max="4359" width="13" style="125" customWidth="1"/>
    <col min="4360" max="4608" width="9.109375" style="125"/>
    <col min="4609" max="4609" width="38.109375" style="125" customWidth="1"/>
    <col min="4610" max="4610" width="28.5546875" style="125" customWidth="1"/>
    <col min="4611" max="4611" width="12.88671875" style="125" customWidth="1"/>
    <col min="4612" max="4612" width="5" style="125" customWidth="1"/>
    <col min="4613" max="4613" width="5.109375" style="125" customWidth="1"/>
    <col min="4614" max="4614" width="28.88671875" style="125" customWidth="1"/>
    <col min="4615" max="4615" width="13" style="125" customWidth="1"/>
    <col min="4616" max="4864" width="9.109375" style="125"/>
    <col min="4865" max="4865" width="38.109375" style="125" customWidth="1"/>
    <col min="4866" max="4866" width="28.5546875" style="125" customWidth="1"/>
    <col min="4867" max="4867" width="12.88671875" style="125" customWidth="1"/>
    <col min="4868" max="4868" width="5" style="125" customWidth="1"/>
    <col min="4869" max="4869" width="5.109375" style="125" customWidth="1"/>
    <col min="4870" max="4870" width="28.88671875" style="125" customWidth="1"/>
    <col min="4871" max="4871" width="13" style="125" customWidth="1"/>
    <col min="4872" max="5120" width="9.109375" style="125"/>
    <col min="5121" max="5121" width="38.109375" style="125" customWidth="1"/>
    <col min="5122" max="5122" width="28.5546875" style="125" customWidth="1"/>
    <col min="5123" max="5123" width="12.88671875" style="125" customWidth="1"/>
    <col min="5124" max="5124" width="5" style="125" customWidth="1"/>
    <col min="5125" max="5125" width="5.109375" style="125" customWidth="1"/>
    <col min="5126" max="5126" width="28.88671875" style="125" customWidth="1"/>
    <col min="5127" max="5127" width="13" style="125" customWidth="1"/>
    <col min="5128" max="5376" width="9.109375" style="125"/>
    <col min="5377" max="5377" width="38.109375" style="125" customWidth="1"/>
    <col min="5378" max="5378" width="28.5546875" style="125" customWidth="1"/>
    <col min="5379" max="5379" width="12.88671875" style="125" customWidth="1"/>
    <col min="5380" max="5380" width="5" style="125" customWidth="1"/>
    <col min="5381" max="5381" width="5.109375" style="125" customWidth="1"/>
    <col min="5382" max="5382" width="28.88671875" style="125" customWidth="1"/>
    <col min="5383" max="5383" width="13" style="125" customWidth="1"/>
    <col min="5384" max="5632" width="9.109375" style="125"/>
    <col min="5633" max="5633" width="38.109375" style="125" customWidth="1"/>
    <col min="5634" max="5634" width="28.5546875" style="125" customWidth="1"/>
    <col min="5635" max="5635" width="12.88671875" style="125" customWidth="1"/>
    <col min="5636" max="5636" width="5" style="125" customWidth="1"/>
    <col min="5637" max="5637" width="5.109375" style="125" customWidth="1"/>
    <col min="5638" max="5638" width="28.88671875" style="125" customWidth="1"/>
    <col min="5639" max="5639" width="13" style="125" customWidth="1"/>
    <col min="5640" max="5888" width="9.109375" style="125"/>
    <col min="5889" max="5889" width="38.109375" style="125" customWidth="1"/>
    <col min="5890" max="5890" width="28.5546875" style="125" customWidth="1"/>
    <col min="5891" max="5891" width="12.88671875" style="125" customWidth="1"/>
    <col min="5892" max="5892" width="5" style="125" customWidth="1"/>
    <col min="5893" max="5893" width="5.109375" style="125" customWidth="1"/>
    <col min="5894" max="5894" width="28.88671875" style="125" customWidth="1"/>
    <col min="5895" max="5895" width="13" style="125" customWidth="1"/>
    <col min="5896" max="6144" width="9.109375" style="125"/>
    <col min="6145" max="6145" width="38.109375" style="125" customWidth="1"/>
    <col min="6146" max="6146" width="28.5546875" style="125" customWidth="1"/>
    <col min="6147" max="6147" width="12.88671875" style="125" customWidth="1"/>
    <col min="6148" max="6148" width="5" style="125" customWidth="1"/>
    <col min="6149" max="6149" width="5.109375" style="125" customWidth="1"/>
    <col min="6150" max="6150" width="28.88671875" style="125" customWidth="1"/>
    <col min="6151" max="6151" width="13" style="125" customWidth="1"/>
    <col min="6152" max="6400" width="9.109375" style="125"/>
    <col min="6401" max="6401" width="38.109375" style="125" customWidth="1"/>
    <col min="6402" max="6402" width="28.5546875" style="125" customWidth="1"/>
    <col min="6403" max="6403" width="12.88671875" style="125" customWidth="1"/>
    <col min="6404" max="6404" width="5" style="125" customWidth="1"/>
    <col min="6405" max="6405" width="5.109375" style="125" customWidth="1"/>
    <col min="6406" max="6406" width="28.88671875" style="125" customWidth="1"/>
    <col min="6407" max="6407" width="13" style="125" customWidth="1"/>
    <col min="6408" max="6656" width="9.109375" style="125"/>
    <col min="6657" max="6657" width="38.109375" style="125" customWidth="1"/>
    <col min="6658" max="6658" width="28.5546875" style="125" customWidth="1"/>
    <col min="6659" max="6659" width="12.88671875" style="125" customWidth="1"/>
    <col min="6660" max="6660" width="5" style="125" customWidth="1"/>
    <col min="6661" max="6661" width="5.109375" style="125" customWidth="1"/>
    <col min="6662" max="6662" width="28.88671875" style="125" customWidth="1"/>
    <col min="6663" max="6663" width="13" style="125" customWidth="1"/>
    <col min="6664" max="6912" width="9.109375" style="125"/>
    <col min="6913" max="6913" width="38.109375" style="125" customWidth="1"/>
    <col min="6914" max="6914" width="28.5546875" style="125" customWidth="1"/>
    <col min="6915" max="6915" width="12.88671875" style="125" customWidth="1"/>
    <col min="6916" max="6916" width="5" style="125" customWidth="1"/>
    <col min="6917" max="6917" width="5.109375" style="125" customWidth="1"/>
    <col min="6918" max="6918" width="28.88671875" style="125" customWidth="1"/>
    <col min="6919" max="6919" width="13" style="125" customWidth="1"/>
    <col min="6920" max="7168" width="9.109375" style="125"/>
    <col min="7169" max="7169" width="38.109375" style="125" customWidth="1"/>
    <col min="7170" max="7170" width="28.5546875" style="125" customWidth="1"/>
    <col min="7171" max="7171" width="12.88671875" style="125" customWidth="1"/>
    <col min="7172" max="7172" width="5" style="125" customWidth="1"/>
    <col min="7173" max="7173" width="5.109375" style="125" customWidth="1"/>
    <col min="7174" max="7174" width="28.88671875" style="125" customWidth="1"/>
    <col min="7175" max="7175" width="13" style="125" customWidth="1"/>
    <col min="7176" max="7424" width="9.109375" style="125"/>
    <col min="7425" max="7425" width="38.109375" style="125" customWidth="1"/>
    <col min="7426" max="7426" width="28.5546875" style="125" customWidth="1"/>
    <col min="7427" max="7427" width="12.88671875" style="125" customWidth="1"/>
    <col min="7428" max="7428" width="5" style="125" customWidth="1"/>
    <col min="7429" max="7429" width="5.109375" style="125" customWidth="1"/>
    <col min="7430" max="7430" width="28.88671875" style="125" customWidth="1"/>
    <col min="7431" max="7431" width="13" style="125" customWidth="1"/>
    <col min="7432" max="7680" width="9.109375" style="125"/>
    <col min="7681" max="7681" width="38.109375" style="125" customWidth="1"/>
    <col min="7682" max="7682" width="28.5546875" style="125" customWidth="1"/>
    <col min="7683" max="7683" width="12.88671875" style="125" customWidth="1"/>
    <col min="7684" max="7684" width="5" style="125" customWidth="1"/>
    <col min="7685" max="7685" width="5.109375" style="125" customWidth="1"/>
    <col min="7686" max="7686" width="28.88671875" style="125" customWidth="1"/>
    <col min="7687" max="7687" width="13" style="125" customWidth="1"/>
    <col min="7688" max="7936" width="9.109375" style="125"/>
    <col min="7937" max="7937" width="38.109375" style="125" customWidth="1"/>
    <col min="7938" max="7938" width="28.5546875" style="125" customWidth="1"/>
    <col min="7939" max="7939" width="12.88671875" style="125" customWidth="1"/>
    <col min="7940" max="7940" width="5" style="125" customWidth="1"/>
    <col min="7941" max="7941" width="5.109375" style="125" customWidth="1"/>
    <col min="7942" max="7942" width="28.88671875" style="125" customWidth="1"/>
    <col min="7943" max="7943" width="13" style="125" customWidth="1"/>
    <col min="7944" max="8192" width="9.109375" style="125"/>
    <col min="8193" max="8193" width="38.109375" style="125" customWidth="1"/>
    <col min="8194" max="8194" width="28.5546875" style="125" customWidth="1"/>
    <col min="8195" max="8195" width="12.88671875" style="125" customWidth="1"/>
    <col min="8196" max="8196" width="5" style="125" customWidth="1"/>
    <col min="8197" max="8197" width="5.109375" style="125" customWidth="1"/>
    <col min="8198" max="8198" width="28.88671875" style="125" customWidth="1"/>
    <col min="8199" max="8199" width="13" style="125" customWidth="1"/>
    <col min="8200" max="8448" width="9.109375" style="125"/>
    <col min="8449" max="8449" width="38.109375" style="125" customWidth="1"/>
    <col min="8450" max="8450" width="28.5546875" style="125" customWidth="1"/>
    <col min="8451" max="8451" width="12.88671875" style="125" customWidth="1"/>
    <col min="8452" max="8452" width="5" style="125" customWidth="1"/>
    <col min="8453" max="8453" width="5.109375" style="125" customWidth="1"/>
    <col min="8454" max="8454" width="28.88671875" style="125" customWidth="1"/>
    <col min="8455" max="8455" width="13" style="125" customWidth="1"/>
    <col min="8456" max="8704" width="9.109375" style="125"/>
    <col min="8705" max="8705" width="38.109375" style="125" customWidth="1"/>
    <col min="8706" max="8706" width="28.5546875" style="125" customWidth="1"/>
    <col min="8707" max="8707" width="12.88671875" style="125" customWidth="1"/>
    <col min="8708" max="8708" width="5" style="125" customWidth="1"/>
    <col min="8709" max="8709" width="5.109375" style="125" customWidth="1"/>
    <col min="8710" max="8710" width="28.88671875" style="125" customWidth="1"/>
    <col min="8711" max="8711" width="13" style="125" customWidth="1"/>
    <col min="8712" max="8960" width="9.109375" style="125"/>
    <col min="8961" max="8961" width="38.109375" style="125" customWidth="1"/>
    <col min="8962" max="8962" width="28.5546875" style="125" customWidth="1"/>
    <col min="8963" max="8963" width="12.88671875" style="125" customWidth="1"/>
    <col min="8964" max="8964" width="5" style="125" customWidth="1"/>
    <col min="8965" max="8965" width="5.109375" style="125" customWidth="1"/>
    <col min="8966" max="8966" width="28.88671875" style="125" customWidth="1"/>
    <col min="8967" max="8967" width="13" style="125" customWidth="1"/>
    <col min="8968" max="9216" width="9.109375" style="125"/>
    <col min="9217" max="9217" width="38.109375" style="125" customWidth="1"/>
    <col min="9218" max="9218" width="28.5546875" style="125" customWidth="1"/>
    <col min="9219" max="9219" width="12.88671875" style="125" customWidth="1"/>
    <col min="9220" max="9220" width="5" style="125" customWidth="1"/>
    <col min="9221" max="9221" width="5.109375" style="125" customWidth="1"/>
    <col min="9222" max="9222" width="28.88671875" style="125" customWidth="1"/>
    <col min="9223" max="9223" width="13" style="125" customWidth="1"/>
    <col min="9224" max="9472" width="9.109375" style="125"/>
    <col min="9473" max="9473" width="38.109375" style="125" customWidth="1"/>
    <col min="9474" max="9474" width="28.5546875" style="125" customWidth="1"/>
    <col min="9475" max="9475" width="12.88671875" style="125" customWidth="1"/>
    <col min="9476" max="9476" width="5" style="125" customWidth="1"/>
    <col min="9477" max="9477" width="5.109375" style="125" customWidth="1"/>
    <col min="9478" max="9478" width="28.88671875" style="125" customWidth="1"/>
    <col min="9479" max="9479" width="13" style="125" customWidth="1"/>
    <col min="9480" max="9728" width="9.109375" style="125"/>
    <col min="9729" max="9729" width="38.109375" style="125" customWidth="1"/>
    <col min="9730" max="9730" width="28.5546875" style="125" customWidth="1"/>
    <col min="9731" max="9731" width="12.88671875" style="125" customWidth="1"/>
    <col min="9732" max="9732" width="5" style="125" customWidth="1"/>
    <col min="9733" max="9733" width="5.109375" style="125" customWidth="1"/>
    <col min="9734" max="9734" width="28.88671875" style="125" customWidth="1"/>
    <col min="9735" max="9735" width="13" style="125" customWidth="1"/>
    <col min="9736" max="9984" width="9.109375" style="125"/>
    <col min="9985" max="9985" width="38.109375" style="125" customWidth="1"/>
    <col min="9986" max="9986" width="28.5546875" style="125" customWidth="1"/>
    <col min="9987" max="9987" width="12.88671875" style="125" customWidth="1"/>
    <col min="9988" max="9988" width="5" style="125" customWidth="1"/>
    <col min="9989" max="9989" width="5.109375" style="125" customWidth="1"/>
    <col min="9990" max="9990" width="28.88671875" style="125" customWidth="1"/>
    <col min="9991" max="9991" width="13" style="125" customWidth="1"/>
    <col min="9992" max="10240" width="9.109375" style="125"/>
    <col min="10241" max="10241" width="38.109375" style="125" customWidth="1"/>
    <col min="10242" max="10242" width="28.5546875" style="125" customWidth="1"/>
    <col min="10243" max="10243" width="12.88671875" style="125" customWidth="1"/>
    <col min="10244" max="10244" width="5" style="125" customWidth="1"/>
    <col min="10245" max="10245" width="5.109375" style="125" customWidth="1"/>
    <col min="10246" max="10246" width="28.88671875" style="125" customWidth="1"/>
    <col min="10247" max="10247" width="13" style="125" customWidth="1"/>
    <col min="10248" max="10496" width="9.109375" style="125"/>
    <col min="10497" max="10497" width="38.109375" style="125" customWidth="1"/>
    <col min="10498" max="10498" width="28.5546875" style="125" customWidth="1"/>
    <col min="10499" max="10499" width="12.88671875" style="125" customWidth="1"/>
    <col min="10500" max="10500" width="5" style="125" customWidth="1"/>
    <col min="10501" max="10501" width="5.109375" style="125" customWidth="1"/>
    <col min="10502" max="10502" width="28.88671875" style="125" customWidth="1"/>
    <col min="10503" max="10503" width="13" style="125" customWidth="1"/>
    <col min="10504" max="10752" width="9.109375" style="125"/>
    <col min="10753" max="10753" width="38.109375" style="125" customWidth="1"/>
    <col min="10754" max="10754" width="28.5546875" style="125" customWidth="1"/>
    <col min="10755" max="10755" width="12.88671875" style="125" customWidth="1"/>
    <col min="10756" max="10756" width="5" style="125" customWidth="1"/>
    <col min="10757" max="10757" width="5.109375" style="125" customWidth="1"/>
    <col min="10758" max="10758" width="28.88671875" style="125" customWidth="1"/>
    <col min="10759" max="10759" width="13" style="125" customWidth="1"/>
    <col min="10760" max="11008" width="9.109375" style="125"/>
    <col min="11009" max="11009" width="38.109375" style="125" customWidth="1"/>
    <col min="11010" max="11010" width="28.5546875" style="125" customWidth="1"/>
    <col min="11011" max="11011" width="12.88671875" style="125" customWidth="1"/>
    <col min="11012" max="11012" width="5" style="125" customWidth="1"/>
    <col min="11013" max="11013" width="5.109375" style="125" customWidth="1"/>
    <col min="11014" max="11014" width="28.88671875" style="125" customWidth="1"/>
    <col min="11015" max="11015" width="13" style="125" customWidth="1"/>
    <col min="11016" max="11264" width="9.109375" style="125"/>
    <col min="11265" max="11265" width="38.109375" style="125" customWidth="1"/>
    <col min="11266" max="11266" width="28.5546875" style="125" customWidth="1"/>
    <col min="11267" max="11267" width="12.88671875" style="125" customWidth="1"/>
    <col min="11268" max="11268" width="5" style="125" customWidth="1"/>
    <col min="11269" max="11269" width="5.109375" style="125" customWidth="1"/>
    <col min="11270" max="11270" width="28.88671875" style="125" customWidth="1"/>
    <col min="11271" max="11271" width="13" style="125" customWidth="1"/>
    <col min="11272" max="11520" width="9.109375" style="125"/>
    <col min="11521" max="11521" width="38.109375" style="125" customWidth="1"/>
    <col min="11522" max="11522" width="28.5546875" style="125" customWidth="1"/>
    <col min="11523" max="11523" width="12.88671875" style="125" customWidth="1"/>
    <col min="11524" max="11524" width="5" style="125" customWidth="1"/>
    <col min="11525" max="11525" width="5.109375" style="125" customWidth="1"/>
    <col min="11526" max="11526" width="28.88671875" style="125" customWidth="1"/>
    <col min="11527" max="11527" width="13" style="125" customWidth="1"/>
    <col min="11528" max="11776" width="9.109375" style="125"/>
    <col min="11777" max="11777" width="38.109375" style="125" customWidth="1"/>
    <col min="11778" max="11778" width="28.5546875" style="125" customWidth="1"/>
    <col min="11779" max="11779" width="12.88671875" style="125" customWidth="1"/>
    <col min="11780" max="11780" width="5" style="125" customWidth="1"/>
    <col min="11781" max="11781" width="5.109375" style="125" customWidth="1"/>
    <col min="11782" max="11782" width="28.88671875" style="125" customWidth="1"/>
    <col min="11783" max="11783" width="13" style="125" customWidth="1"/>
    <col min="11784" max="12032" width="9.109375" style="125"/>
    <col min="12033" max="12033" width="38.109375" style="125" customWidth="1"/>
    <col min="12034" max="12034" width="28.5546875" style="125" customWidth="1"/>
    <col min="12035" max="12035" width="12.88671875" style="125" customWidth="1"/>
    <col min="12036" max="12036" width="5" style="125" customWidth="1"/>
    <col min="12037" max="12037" width="5.109375" style="125" customWidth="1"/>
    <col min="12038" max="12038" width="28.88671875" style="125" customWidth="1"/>
    <col min="12039" max="12039" width="13" style="125" customWidth="1"/>
    <col min="12040" max="12288" width="9.109375" style="125"/>
    <col min="12289" max="12289" width="38.109375" style="125" customWidth="1"/>
    <col min="12290" max="12290" width="28.5546875" style="125" customWidth="1"/>
    <col min="12291" max="12291" width="12.88671875" style="125" customWidth="1"/>
    <col min="12292" max="12292" width="5" style="125" customWidth="1"/>
    <col min="12293" max="12293" width="5.109375" style="125" customWidth="1"/>
    <col min="12294" max="12294" width="28.88671875" style="125" customWidth="1"/>
    <col min="12295" max="12295" width="13" style="125" customWidth="1"/>
    <col min="12296" max="12544" width="9.109375" style="125"/>
    <col min="12545" max="12545" width="38.109375" style="125" customWidth="1"/>
    <col min="12546" max="12546" width="28.5546875" style="125" customWidth="1"/>
    <col min="12547" max="12547" width="12.88671875" style="125" customWidth="1"/>
    <col min="12548" max="12548" width="5" style="125" customWidth="1"/>
    <col min="12549" max="12549" width="5.109375" style="125" customWidth="1"/>
    <col min="12550" max="12550" width="28.88671875" style="125" customWidth="1"/>
    <col min="12551" max="12551" width="13" style="125" customWidth="1"/>
    <col min="12552" max="12800" width="9.109375" style="125"/>
    <col min="12801" max="12801" width="38.109375" style="125" customWidth="1"/>
    <col min="12802" max="12802" width="28.5546875" style="125" customWidth="1"/>
    <col min="12803" max="12803" width="12.88671875" style="125" customWidth="1"/>
    <col min="12804" max="12804" width="5" style="125" customWidth="1"/>
    <col min="12805" max="12805" width="5.109375" style="125" customWidth="1"/>
    <col min="12806" max="12806" width="28.88671875" style="125" customWidth="1"/>
    <col min="12807" max="12807" width="13" style="125" customWidth="1"/>
    <col min="12808" max="13056" width="9.109375" style="125"/>
    <col min="13057" max="13057" width="38.109375" style="125" customWidth="1"/>
    <col min="13058" max="13058" width="28.5546875" style="125" customWidth="1"/>
    <col min="13059" max="13059" width="12.88671875" style="125" customWidth="1"/>
    <col min="13060" max="13060" width="5" style="125" customWidth="1"/>
    <col min="13061" max="13061" width="5.109375" style="125" customWidth="1"/>
    <col min="13062" max="13062" width="28.88671875" style="125" customWidth="1"/>
    <col min="13063" max="13063" width="13" style="125" customWidth="1"/>
    <col min="13064" max="13312" width="9.109375" style="125"/>
    <col min="13313" max="13313" width="38.109375" style="125" customWidth="1"/>
    <col min="13314" max="13314" width="28.5546875" style="125" customWidth="1"/>
    <col min="13315" max="13315" width="12.88671875" style="125" customWidth="1"/>
    <col min="13316" max="13316" width="5" style="125" customWidth="1"/>
    <col min="13317" max="13317" width="5.109375" style="125" customWidth="1"/>
    <col min="13318" max="13318" width="28.88671875" style="125" customWidth="1"/>
    <col min="13319" max="13319" width="13" style="125" customWidth="1"/>
    <col min="13320" max="13568" width="9.109375" style="125"/>
    <col min="13569" max="13569" width="38.109375" style="125" customWidth="1"/>
    <col min="13570" max="13570" width="28.5546875" style="125" customWidth="1"/>
    <col min="13571" max="13571" width="12.88671875" style="125" customWidth="1"/>
    <col min="13572" max="13572" width="5" style="125" customWidth="1"/>
    <col min="13573" max="13573" width="5.109375" style="125" customWidth="1"/>
    <col min="13574" max="13574" width="28.88671875" style="125" customWidth="1"/>
    <col min="13575" max="13575" width="13" style="125" customWidth="1"/>
    <col min="13576" max="13824" width="9.109375" style="125"/>
    <col min="13825" max="13825" width="38.109375" style="125" customWidth="1"/>
    <col min="13826" max="13826" width="28.5546875" style="125" customWidth="1"/>
    <col min="13827" max="13827" width="12.88671875" style="125" customWidth="1"/>
    <col min="13828" max="13828" width="5" style="125" customWidth="1"/>
    <col min="13829" max="13829" width="5.109375" style="125" customWidth="1"/>
    <col min="13830" max="13830" width="28.88671875" style="125" customWidth="1"/>
    <col min="13831" max="13831" width="13" style="125" customWidth="1"/>
    <col min="13832" max="14080" width="9.109375" style="125"/>
    <col min="14081" max="14081" width="38.109375" style="125" customWidth="1"/>
    <col min="14082" max="14082" width="28.5546875" style="125" customWidth="1"/>
    <col min="14083" max="14083" width="12.88671875" style="125" customWidth="1"/>
    <col min="14084" max="14084" width="5" style="125" customWidth="1"/>
    <col min="14085" max="14085" width="5.109375" style="125" customWidth="1"/>
    <col min="14086" max="14086" width="28.88671875" style="125" customWidth="1"/>
    <col min="14087" max="14087" width="13" style="125" customWidth="1"/>
    <col min="14088" max="14336" width="9.109375" style="125"/>
    <col min="14337" max="14337" width="38.109375" style="125" customWidth="1"/>
    <col min="14338" max="14338" width="28.5546875" style="125" customWidth="1"/>
    <col min="14339" max="14339" width="12.88671875" style="125" customWidth="1"/>
    <col min="14340" max="14340" width="5" style="125" customWidth="1"/>
    <col min="14341" max="14341" width="5.109375" style="125" customWidth="1"/>
    <col min="14342" max="14342" width="28.88671875" style="125" customWidth="1"/>
    <col min="14343" max="14343" width="13" style="125" customWidth="1"/>
    <col min="14344" max="14592" width="9.109375" style="125"/>
    <col min="14593" max="14593" width="38.109375" style="125" customWidth="1"/>
    <col min="14594" max="14594" width="28.5546875" style="125" customWidth="1"/>
    <col min="14595" max="14595" width="12.88671875" style="125" customWidth="1"/>
    <col min="14596" max="14596" width="5" style="125" customWidth="1"/>
    <col min="14597" max="14597" width="5.109375" style="125" customWidth="1"/>
    <col min="14598" max="14598" width="28.88671875" style="125" customWidth="1"/>
    <col min="14599" max="14599" width="13" style="125" customWidth="1"/>
    <col min="14600" max="14848" width="9.109375" style="125"/>
    <col min="14849" max="14849" width="38.109375" style="125" customWidth="1"/>
    <col min="14850" max="14850" width="28.5546875" style="125" customWidth="1"/>
    <col min="14851" max="14851" width="12.88671875" style="125" customWidth="1"/>
    <col min="14852" max="14852" width="5" style="125" customWidth="1"/>
    <col min="14853" max="14853" width="5.109375" style="125" customWidth="1"/>
    <col min="14854" max="14854" width="28.88671875" style="125" customWidth="1"/>
    <col min="14855" max="14855" width="13" style="125" customWidth="1"/>
    <col min="14856" max="15104" width="9.109375" style="125"/>
    <col min="15105" max="15105" width="38.109375" style="125" customWidth="1"/>
    <col min="15106" max="15106" width="28.5546875" style="125" customWidth="1"/>
    <col min="15107" max="15107" width="12.88671875" style="125" customWidth="1"/>
    <col min="15108" max="15108" width="5" style="125" customWidth="1"/>
    <col min="15109" max="15109" width="5.109375" style="125" customWidth="1"/>
    <col min="15110" max="15110" width="28.88671875" style="125" customWidth="1"/>
    <col min="15111" max="15111" width="13" style="125" customWidth="1"/>
    <col min="15112" max="15360" width="9.109375" style="125"/>
    <col min="15361" max="15361" width="38.109375" style="125" customWidth="1"/>
    <col min="15362" max="15362" width="28.5546875" style="125" customWidth="1"/>
    <col min="15363" max="15363" width="12.88671875" style="125" customWidth="1"/>
    <col min="15364" max="15364" width="5" style="125" customWidth="1"/>
    <col min="15365" max="15365" width="5.109375" style="125" customWidth="1"/>
    <col min="15366" max="15366" width="28.88671875" style="125" customWidth="1"/>
    <col min="15367" max="15367" width="13" style="125" customWidth="1"/>
    <col min="15368" max="15616" width="9.109375" style="125"/>
    <col min="15617" max="15617" width="38.109375" style="125" customWidth="1"/>
    <col min="15618" max="15618" width="28.5546875" style="125" customWidth="1"/>
    <col min="15619" max="15619" width="12.88671875" style="125" customWidth="1"/>
    <col min="15620" max="15620" width="5" style="125" customWidth="1"/>
    <col min="15621" max="15621" width="5.109375" style="125" customWidth="1"/>
    <col min="15622" max="15622" width="28.88671875" style="125" customWidth="1"/>
    <col min="15623" max="15623" width="13" style="125" customWidth="1"/>
    <col min="15624" max="15872" width="9.109375" style="125"/>
    <col min="15873" max="15873" width="38.109375" style="125" customWidth="1"/>
    <col min="15874" max="15874" width="28.5546875" style="125" customWidth="1"/>
    <col min="15875" max="15875" width="12.88671875" style="125" customWidth="1"/>
    <col min="15876" max="15876" width="5" style="125" customWidth="1"/>
    <col min="15877" max="15877" width="5.109375" style="125" customWidth="1"/>
    <col min="15878" max="15878" width="28.88671875" style="125" customWidth="1"/>
    <col min="15879" max="15879" width="13" style="125" customWidth="1"/>
    <col min="15880" max="16128" width="9.109375" style="125"/>
    <col min="16129" max="16129" width="38.109375" style="125" customWidth="1"/>
    <col min="16130" max="16130" width="28.5546875" style="125" customWidth="1"/>
    <col min="16131" max="16131" width="12.88671875" style="125" customWidth="1"/>
    <col min="16132" max="16132" width="5" style="125" customWidth="1"/>
    <col min="16133" max="16133" width="5.109375" style="125" customWidth="1"/>
    <col min="16134" max="16134" width="28.88671875" style="125" customWidth="1"/>
    <col min="16135" max="16135" width="13" style="125" customWidth="1"/>
    <col min="16136" max="16384" width="9.109375" style="125"/>
  </cols>
  <sheetData>
    <row r="1" spans="1:3" x14ac:dyDescent="0.25">
      <c r="A1" s="124"/>
    </row>
    <row r="3" spans="1:3" ht="17.399999999999999" x14ac:dyDescent="0.3">
      <c r="B3" s="126" t="s">
        <v>153</v>
      </c>
      <c r="C3" s="127"/>
    </row>
    <row r="4" spans="1:3" x14ac:dyDescent="0.25">
      <c r="B4" s="266" t="s">
        <v>69</v>
      </c>
      <c r="C4" s="266"/>
    </row>
    <row r="5" spans="1:3" ht="16.8" x14ac:dyDescent="0.25">
      <c r="B5" s="128" t="s">
        <v>179</v>
      </c>
      <c r="C5" s="129">
        <f>(Establishment!C27+'Hop Production'!D32)-'Hop Production'!D40</f>
        <v>7503.2427543290032</v>
      </c>
    </row>
    <row r="6" spans="1:3" ht="16.8" x14ac:dyDescent="0.25">
      <c r="B6" s="128" t="s">
        <v>180</v>
      </c>
      <c r="C6" s="130">
        <v>4</v>
      </c>
    </row>
    <row r="7" spans="1:3" x14ac:dyDescent="0.25">
      <c r="B7" s="128" t="s">
        <v>154</v>
      </c>
      <c r="C7" s="131">
        <v>0.05</v>
      </c>
    </row>
    <row r="8" spans="1:3" x14ac:dyDescent="0.25">
      <c r="B8" s="267"/>
      <c r="C8" s="267"/>
    </row>
    <row r="9" spans="1:3" x14ac:dyDescent="0.25">
      <c r="B9" s="132" t="s">
        <v>155</v>
      </c>
      <c r="C9" s="133">
        <f>IF(C6=0," ",PMT(C7,C6,C5))</f>
        <v>-2116.0032396169759</v>
      </c>
    </row>
    <row r="10" spans="1:3" x14ac:dyDescent="0.25">
      <c r="B10" s="201" t="s">
        <v>73</v>
      </c>
      <c r="C10" s="202"/>
    </row>
    <row r="11" spans="1:3" s="203" customFormat="1" ht="39.75" customHeight="1" x14ac:dyDescent="0.3">
      <c r="B11" s="268" t="s">
        <v>181</v>
      </c>
      <c r="C11" s="268"/>
    </row>
    <row r="12" spans="1:3" x14ac:dyDescent="0.25">
      <c r="B12" s="134" t="s">
        <v>182</v>
      </c>
      <c r="C12" s="129"/>
    </row>
  </sheetData>
  <sheetProtection sheet="1" objects="1" scenarios="1"/>
  <protectedRanges>
    <protectedRange sqref="C6:C7" name="Range1"/>
  </protectedRanges>
  <customSheetViews>
    <customSheetView guid="{76B766A5-443C-4C54-86C8-F5C661F06BFC}">
      <pageMargins left="0.7" right="0.7" top="0.75" bottom="0.75" header="0.3" footer="0.3"/>
    </customSheetView>
    <customSheetView guid="{4DF746F6-C3F2-4BEF-B84D-60D120277636}">
      <pageMargins left="0.7" right="0.7" top="0.75" bottom="0.75" header="0.3" footer="0.3"/>
    </customSheetView>
  </customSheetViews>
  <mergeCells count="3">
    <mergeCell ref="B4:C4"/>
    <mergeCell ref="B8:C8"/>
    <mergeCell ref="B11:C11"/>
  </mergeCells>
  <pageMargins left="0.7" right="0.7" top="0.75" bottom="0.75" header="0.3" footer="0.3"/>
  <ignoredErrors>
    <ignoredError sqref="C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Z57"/>
  <sheetViews>
    <sheetView workbookViewId="0"/>
  </sheetViews>
  <sheetFormatPr defaultColWidth="8.88671875" defaultRowHeight="13.8" x14ac:dyDescent="0.25"/>
  <cols>
    <col min="1" max="1" width="8.88671875" style="21"/>
    <col min="2" max="2" width="11.109375" style="21" customWidth="1"/>
    <col min="3" max="3" width="12.5546875" style="136" customWidth="1"/>
    <col min="4" max="4" width="9.109375" style="94" customWidth="1"/>
    <col min="5" max="6" width="14" style="21" customWidth="1"/>
    <col min="7" max="9" width="14.109375" style="44" customWidth="1"/>
    <col min="10" max="10" width="10.5546875" style="21" customWidth="1"/>
    <col min="11" max="11" width="12.33203125" style="136" customWidth="1"/>
    <col min="12" max="12" width="6.88671875" style="136" customWidth="1"/>
    <col min="13" max="14" width="14" style="21" customWidth="1"/>
    <col min="15" max="15" width="14.109375" style="44" customWidth="1"/>
    <col min="16" max="16" width="13.33203125" style="44" customWidth="1"/>
    <col min="17" max="17" width="15" style="21" customWidth="1"/>
    <col min="18" max="18" width="14.109375" style="44" customWidth="1"/>
    <col min="19" max="19" width="10.6640625" style="44" customWidth="1"/>
    <col min="20" max="20" width="12.5546875" style="136" customWidth="1"/>
    <col min="21" max="21" width="9.109375" style="136" customWidth="1"/>
    <col min="22" max="22" width="13.44140625" style="21" customWidth="1"/>
    <col min="23" max="23" width="14" style="21" customWidth="1"/>
    <col min="24" max="24" width="14" style="44" customWidth="1"/>
    <col min="25" max="25" width="14.109375" style="44" customWidth="1"/>
    <col min="26" max="26" width="15" style="21" customWidth="1"/>
    <col min="27" max="262" width="8.88671875" style="21"/>
    <col min="263" max="263" width="4.109375" style="21" customWidth="1"/>
    <col min="264" max="264" width="7.33203125" style="21" customWidth="1"/>
    <col min="265" max="266" width="14" style="21" customWidth="1"/>
    <col min="267" max="267" width="14.109375" style="21" customWidth="1"/>
    <col min="268" max="518" width="8.88671875" style="21"/>
    <col min="519" max="519" width="4.109375" style="21" customWidth="1"/>
    <col min="520" max="520" width="7.33203125" style="21" customWidth="1"/>
    <col min="521" max="522" width="14" style="21" customWidth="1"/>
    <col min="523" max="523" width="14.109375" style="21" customWidth="1"/>
    <col min="524" max="774" width="8.88671875" style="21"/>
    <col min="775" max="775" width="4.109375" style="21" customWidth="1"/>
    <col min="776" max="776" width="7.33203125" style="21" customWidth="1"/>
    <col min="777" max="778" width="14" style="21" customWidth="1"/>
    <col min="779" max="779" width="14.109375" style="21" customWidth="1"/>
    <col min="780" max="1030" width="8.88671875" style="21"/>
    <col min="1031" max="1031" width="4.109375" style="21" customWidth="1"/>
    <col min="1032" max="1032" width="7.33203125" style="21" customWidth="1"/>
    <col min="1033" max="1034" width="14" style="21" customWidth="1"/>
    <col min="1035" max="1035" width="14.109375" style="21" customWidth="1"/>
    <col min="1036" max="1286" width="8.88671875" style="21"/>
    <col min="1287" max="1287" width="4.109375" style="21" customWidth="1"/>
    <col min="1288" max="1288" width="7.33203125" style="21" customWidth="1"/>
    <col min="1289" max="1290" width="14" style="21" customWidth="1"/>
    <col min="1291" max="1291" width="14.109375" style="21" customWidth="1"/>
    <col min="1292" max="1542" width="8.88671875" style="21"/>
    <col min="1543" max="1543" width="4.109375" style="21" customWidth="1"/>
    <col min="1544" max="1544" width="7.33203125" style="21" customWidth="1"/>
    <col min="1545" max="1546" width="14" style="21" customWidth="1"/>
    <col min="1547" max="1547" width="14.109375" style="21" customWidth="1"/>
    <col min="1548" max="1798" width="8.88671875" style="21"/>
    <col min="1799" max="1799" width="4.109375" style="21" customWidth="1"/>
    <col min="1800" max="1800" width="7.33203125" style="21" customWidth="1"/>
    <col min="1801" max="1802" width="14" style="21" customWidth="1"/>
    <col min="1803" max="1803" width="14.109375" style="21" customWidth="1"/>
    <col min="1804" max="2054" width="8.88671875" style="21"/>
    <col min="2055" max="2055" width="4.109375" style="21" customWidth="1"/>
    <col min="2056" max="2056" width="7.33203125" style="21" customWidth="1"/>
    <col min="2057" max="2058" width="14" style="21" customWidth="1"/>
    <col min="2059" max="2059" width="14.109375" style="21" customWidth="1"/>
    <col min="2060" max="2310" width="8.88671875" style="21"/>
    <col min="2311" max="2311" width="4.109375" style="21" customWidth="1"/>
    <col min="2312" max="2312" width="7.33203125" style="21" customWidth="1"/>
    <col min="2313" max="2314" width="14" style="21" customWidth="1"/>
    <col min="2315" max="2315" width="14.109375" style="21" customWidth="1"/>
    <col min="2316" max="2566" width="8.88671875" style="21"/>
    <col min="2567" max="2567" width="4.109375" style="21" customWidth="1"/>
    <col min="2568" max="2568" width="7.33203125" style="21" customWidth="1"/>
    <col min="2569" max="2570" width="14" style="21" customWidth="1"/>
    <col min="2571" max="2571" width="14.109375" style="21" customWidth="1"/>
    <col min="2572" max="2822" width="8.88671875" style="21"/>
    <col min="2823" max="2823" width="4.109375" style="21" customWidth="1"/>
    <col min="2824" max="2824" width="7.33203125" style="21" customWidth="1"/>
    <col min="2825" max="2826" width="14" style="21" customWidth="1"/>
    <col min="2827" max="2827" width="14.109375" style="21" customWidth="1"/>
    <col min="2828" max="3078" width="8.88671875" style="21"/>
    <col min="3079" max="3079" width="4.109375" style="21" customWidth="1"/>
    <col min="3080" max="3080" width="7.33203125" style="21" customWidth="1"/>
    <col min="3081" max="3082" width="14" style="21" customWidth="1"/>
    <col min="3083" max="3083" width="14.109375" style="21" customWidth="1"/>
    <col min="3084" max="3334" width="8.88671875" style="21"/>
    <col min="3335" max="3335" width="4.109375" style="21" customWidth="1"/>
    <col min="3336" max="3336" width="7.33203125" style="21" customWidth="1"/>
    <col min="3337" max="3338" width="14" style="21" customWidth="1"/>
    <col min="3339" max="3339" width="14.109375" style="21" customWidth="1"/>
    <col min="3340" max="3590" width="8.88671875" style="21"/>
    <col min="3591" max="3591" width="4.109375" style="21" customWidth="1"/>
    <col min="3592" max="3592" width="7.33203125" style="21" customWidth="1"/>
    <col min="3593" max="3594" width="14" style="21" customWidth="1"/>
    <col min="3595" max="3595" width="14.109375" style="21" customWidth="1"/>
    <col min="3596" max="3846" width="8.88671875" style="21"/>
    <col min="3847" max="3847" width="4.109375" style="21" customWidth="1"/>
    <col min="3848" max="3848" width="7.33203125" style="21" customWidth="1"/>
    <col min="3849" max="3850" width="14" style="21" customWidth="1"/>
    <col min="3851" max="3851" width="14.109375" style="21" customWidth="1"/>
    <col min="3852" max="4102" width="8.88671875" style="21"/>
    <col min="4103" max="4103" width="4.109375" style="21" customWidth="1"/>
    <col min="4104" max="4104" width="7.33203125" style="21" customWidth="1"/>
    <col min="4105" max="4106" width="14" style="21" customWidth="1"/>
    <col min="4107" max="4107" width="14.109375" style="21" customWidth="1"/>
    <col min="4108" max="4358" width="8.88671875" style="21"/>
    <col min="4359" max="4359" width="4.109375" style="21" customWidth="1"/>
    <col min="4360" max="4360" width="7.33203125" style="21" customWidth="1"/>
    <col min="4361" max="4362" width="14" style="21" customWidth="1"/>
    <col min="4363" max="4363" width="14.109375" style="21" customWidth="1"/>
    <col min="4364" max="4614" width="8.88671875" style="21"/>
    <col min="4615" max="4615" width="4.109375" style="21" customWidth="1"/>
    <col min="4616" max="4616" width="7.33203125" style="21" customWidth="1"/>
    <col min="4617" max="4618" width="14" style="21" customWidth="1"/>
    <col min="4619" max="4619" width="14.109375" style="21" customWidth="1"/>
    <col min="4620" max="4870" width="8.88671875" style="21"/>
    <col min="4871" max="4871" width="4.109375" style="21" customWidth="1"/>
    <col min="4872" max="4872" width="7.33203125" style="21" customWidth="1"/>
    <col min="4873" max="4874" width="14" style="21" customWidth="1"/>
    <col min="4875" max="4875" width="14.109375" style="21" customWidth="1"/>
    <col min="4876" max="5126" width="8.88671875" style="21"/>
    <col min="5127" max="5127" width="4.109375" style="21" customWidth="1"/>
    <col min="5128" max="5128" width="7.33203125" style="21" customWidth="1"/>
    <col min="5129" max="5130" width="14" style="21" customWidth="1"/>
    <col min="5131" max="5131" width="14.109375" style="21" customWidth="1"/>
    <col min="5132" max="5382" width="8.88671875" style="21"/>
    <col min="5383" max="5383" width="4.109375" style="21" customWidth="1"/>
    <col min="5384" max="5384" width="7.33203125" style="21" customWidth="1"/>
    <col min="5385" max="5386" width="14" style="21" customWidth="1"/>
    <col min="5387" max="5387" width="14.109375" style="21" customWidth="1"/>
    <col min="5388" max="5638" width="8.88671875" style="21"/>
    <col min="5639" max="5639" width="4.109375" style="21" customWidth="1"/>
    <col min="5640" max="5640" width="7.33203125" style="21" customWidth="1"/>
    <col min="5641" max="5642" width="14" style="21" customWidth="1"/>
    <col min="5643" max="5643" width="14.109375" style="21" customWidth="1"/>
    <col min="5644" max="5894" width="8.88671875" style="21"/>
    <col min="5895" max="5895" width="4.109375" style="21" customWidth="1"/>
    <col min="5896" max="5896" width="7.33203125" style="21" customWidth="1"/>
    <col min="5897" max="5898" width="14" style="21" customWidth="1"/>
    <col min="5899" max="5899" width="14.109375" style="21" customWidth="1"/>
    <col min="5900" max="6150" width="8.88671875" style="21"/>
    <col min="6151" max="6151" width="4.109375" style="21" customWidth="1"/>
    <col min="6152" max="6152" width="7.33203125" style="21" customWidth="1"/>
    <col min="6153" max="6154" width="14" style="21" customWidth="1"/>
    <col min="6155" max="6155" width="14.109375" style="21" customWidth="1"/>
    <col min="6156" max="6406" width="8.88671875" style="21"/>
    <col min="6407" max="6407" width="4.109375" style="21" customWidth="1"/>
    <col min="6408" max="6408" width="7.33203125" style="21" customWidth="1"/>
    <col min="6409" max="6410" width="14" style="21" customWidth="1"/>
    <col min="6411" max="6411" width="14.109375" style="21" customWidth="1"/>
    <col min="6412" max="6662" width="8.88671875" style="21"/>
    <col min="6663" max="6663" width="4.109375" style="21" customWidth="1"/>
    <col min="6664" max="6664" width="7.33203125" style="21" customWidth="1"/>
    <col min="6665" max="6666" width="14" style="21" customWidth="1"/>
    <col min="6667" max="6667" width="14.109375" style="21" customWidth="1"/>
    <col min="6668" max="6918" width="8.88671875" style="21"/>
    <col min="6919" max="6919" width="4.109375" style="21" customWidth="1"/>
    <col min="6920" max="6920" width="7.33203125" style="21" customWidth="1"/>
    <col min="6921" max="6922" width="14" style="21" customWidth="1"/>
    <col min="6923" max="6923" width="14.109375" style="21" customWidth="1"/>
    <col min="6924" max="7174" width="8.88671875" style="21"/>
    <col min="7175" max="7175" width="4.109375" style="21" customWidth="1"/>
    <col min="7176" max="7176" width="7.33203125" style="21" customWidth="1"/>
    <col min="7177" max="7178" width="14" style="21" customWidth="1"/>
    <col min="7179" max="7179" width="14.109375" style="21" customWidth="1"/>
    <col min="7180" max="7430" width="8.88671875" style="21"/>
    <col min="7431" max="7431" width="4.109375" style="21" customWidth="1"/>
    <col min="7432" max="7432" width="7.33203125" style="21" customWidth="1"/>
    <col min="7433" max="7434" width="14" style="21" customWidth="1"/>
    <col min="7435" max="7435" width="14.109375" style="21" customWidth="1"/>
    <col min="7436" max="7686" width="8.88671875" style="21"/>
    <col min="7687" max="7687" width="4.109375" style="21" customWidth="1"/>
    <col min="7688" max="7688" width="7.33203125" style="21" customWidth="1"/>
    <col min="7689" max="7690" width="14" style="21" customWidth="1"/>
    <col min="7691" max="7691" width="14.109375" style="21" customWidth="1"/>
    <col min="7692" max="7942" width="8.88671875" style="21"/>
    <col min="7943" max="7943" width="4.109375" style="21" customWidth="1"/>
    <col min="7944" max="7944" width="7.33203125" style="21" customWidth="1"/>
    <col min="7945" max="7946" width="14" style="21" customWidth="1"/>
    <col min="7947" max="7947" width="14.109375" style="21" customWidth="1"/>
    <col min="7948" max="8198" width="8.88671875" style="21"/>
    <col min="8199" max="8199" width="4.109375" style="21" customWidth="1"/>
    <col min="8200" max="8200" width="7.33203125" style="21" customWidth="1"/>
    <col min="8201" max="8202" width="14" style="21" customWidth="1"/>
    <col min="8203" max="8203" width="14.109375" style="21" customWidth="1"/>
    <col min="8204" max="8454" width="8.88671875" style="21"/>
    <col min="8455" max="8455" width="4.109375" style="21" customWidth="1"/>
    <col min="8456" max="8456" width="7.33203125" style="21" customWidth="1"/>
    <col min="8457" max="8458" width="14" style="21" customWidth="1"/>
    <col min="8459" max="8459" width="14.109375" style="21" customWidth="1"/>
    <col min="8460" max="8710" width="8.88671875" style="21"/>
    <col min="8711" max="8711" width="4.109375" style="21" customWidth="1"/>
    <col min="8712" max="8712" width="7.33203125" style="21" customWidth="1"/>
    <col min="8713" max="8714" width="14" style="21" customWidth="1"/>
    <col min="8715" max="8715" width="14.109375" style="21" customWidth="1"/>
    <col min="8716" max="8966" width="8.88671875" style="21"/>
    <col min="8967" max="8967" width="4.109375" style="21" customWidth="1"/>
    <col min="8968" max="8968" width="7.33203125" style="21" customWidth="1"/>
    <col min="8969" max="8970" width="14" style="21" customWidth="1"/>
    <col min="8971" max="8971" width="14.109375" style="21" customWidth="1"/>
    <col min="8972" max="9222" width="8.88671875" style="21"/>
    <col min="9223" max="9223" width="4.109375" style="21" customWidth="1"/>
    <col min="9224" max="9224" width="7.33203125" style="21" customWidth="1"/>
    <col min="9225" max="9226" width="14" style="21" customWidth="1"/>
    <col min="9227" max="9227" width="14.109375" style="21" customWidth="1"/>
    <col min="9228" max="9478" width="8.88671875" style="21"/>
    <col min="9479" max="9479" width="4.109375" style="21" customWidth="1"/>
    <col min="9480" max="9480" width="7.33203125" style="21" customWidth="1"/>
    <col min="9481" max="9482" width="14" style="21" customWidth="1"/>
    <col min="9483" max="9483" width="14.109375" style="21" customWidth="1"/>
    <col min="9484" max="9734" width="8.88671875" style="21"/>
    <col min="9735" max="9735" width="4.109375" style="21" customWidth="1"/>
    <col min="9736" max="9736" width="7.33203125" style="21" customWidth="1"/>
    <col min="9737" max="9738" width="14" style="21" customWidth="1"/>
    <col min="9739" max="9739" width="14.109375" style="21" customWidth="1"/>
    <col min="9740" max="9990" width="8.88671875" style="21"/>
    <col min="9991" max="9991" width="4.109375" style="21" customWidth="1"/>
    <col min="9992" max="9992" width="7.33203125" style="21" customWidth="1"/>
    <col min="9993" max="9994" width="14" style="21" customWidth="1"/>
    <col min="9995" max="9995" width="14.109375" style="21" customWidth="1"/>
    <col min="9996" max="10246" width="8.88671875" style="21"/>
    <col min="10247" max="10247" width="4.109375" style="21" customWidth="1"/>
    <col min="10248" max="10248" width="7.33203125" style="21" customWidth="1"/>
    <col min="10249" max="10250" width="14" style="21" customWidth="1"/>
    <col min="10251" max="10251" width="14.109375" style="21" customWidth="1"/>
    <col min="10252" max="10502" width="8.88671875" style="21"/>
    <col min="10503" max="10503" width="4.109375" style="21" customWidth="1"/>
    <col min="10504" max="10504" width="7.33203125" style="21" customWidth="1"/>
    <col min="10505" max="10506" width="14" style="21" customWidth="1"/>
    <col min="10507" max="10507" width="14.109375" style="21" customWidth="1"/>
    <col min="10508" max="10758" width="8.88671875" style="21"/>
    <col min="10759" max="10759" width="4.109375" style="21" customWidth="1"/>
    <col min="10760" max="10760" width="7.33203125" style="21" customWidth="1"/>
    <col min="10761" max="10762" width="14" style="21" customWidth="1"/>
    <col min="10763" max="10763" width="14.109375" style="21" customWidth="1"/>
    <col min="10764" max="11014" width="8.88671875" style="21"/>
    <col min="11015" max="11015" width="4.109375" style="21" customWidth="1"/>
    <col min="11016" max="11016" width="7.33203125" style="21" customWidth="1"/>
    <col min="11017" max="11018" width="14" style="21" customWidth="1"/>
    <col min="11019" max="11019" width="14.109375" style="21" customWidth="1"/>
    <col min="11020" max="11270" width="8.88671875" style="21"/>
    <col min="11271" max="11271" width="4.109375" style="21" customWidth="1"/>
    <col min="11272" max="11272" width="7.33203125" style="21" customWidth="1"/>
    <col min="11273" max="11274" width="14" style="21" customWidth="1"/>
    <col min="11275" max="11275" width="14.109375" style="21" customWidth="1"/>
    <col min="11276" max="11526" width="8.88671875" style="21"/>
    <col min="11527" max="11527" width="4.109375" style="21" customWidth="1"/>
    <col min="11528" max="11528" width="7.33203125" style="21" customWidth="1"/>
    <col min="11529" max="11530" width="14" style="21" customWidth="1"/>
    <col min="11531" max="11531" width="14.109375" style="21" customWidth="1"/>
    <col min="11532" max="11782" width="8.88671875" style="21"/>
    <col min="11783" max="11783" width="4.109375" style="21" customWidth="1"/>
    <col min="11784" max="11784" width="7.33203125" style="21" customWidth="1"/>
    <col min="11785" max="11786" width="14" style="21" customWidth="1"/>
    <col min="11787" max="11787" width="14.109375" style="21" customWidth="1"/>
    <col min="11788" max="12038" width="8.88671875" style="21"/>
    <col min="12039" max="12039" width="4.109375" style="21" customWidth="1"/>
    <col min="12040" max="12040" width="7.33203125" style="21" customWidth="1"/>
    <col min="12041" max="12042" width="14" style="21" customWidth="1"/>
    <col min="12043" max="12043" width="14.109375" style="21" customWidth="1"/>
    <col min="12044" max="12294" width="8.88671875" style="21"/>
    <col min="12295" max="12295" width="4.109375" style="21" customWidth="1"/>
    <col min="12296" max="12296" width="7.33203125" style="21" customWidth="1"/>
    <col min="12297" max="12298" width="14" style="21" customWidth="1"/>
    <col min="12299" max="12299" width="14.109375" style="21" customWidth="1"/>
    <col min="12300" max="12550" width="8.88671875" style="21"/>
    <col min="12551" max="12551" width="4.109375" style="21" customWidth="1"/>
    <col min="12552" max="12552" width="7.33203125" style="21" customWidth="1"/>
    <col min="12553" max="12554" width="14" style="21" customWidth="1"/>
    <col min="12555" max="12555" width="14.109375" style="21" customWidth="1"/>
    <col min="12556" max="12806" width="8.88671875" style="21"/>
    <col min="12807" max="12807" width="4.109375" style="21" customWidth="1"/>
    <col min="12808" max="12808" width="7.33203125" style="21" customWidth="1"/>
    <col min="12809" max="12810" width="14" style="21" customWidth="1"/>
    <col min="12811" max="12811" width="14.109375" style="21" customWidth="1"/>
    <col min="12812" max="13062" width="8.88671875" style="21"/>
    <col min="13063" max="13063" width="4.109375" style="21" customWidth="1"/>
    <col min="13064" max="13064" width="7.33203125" style="21" customWidth="1"/>
    <col min="13065" max="13066" width="14" style="21" customWidth="1"/>
    <col min="13067" max="13067" width="14.109375" style="21" customWidth="1"/>
    <col min="13068" max="13318" width="8.88671875" style="21"/>
    <col min="13319" max="13319" width="4.109375" style="21" customWidth="1"/>
    <col min="13320" max="13320" width="7.33203125" style="21" customWidth="1"/>
    <col min="13321" max="13322" width="14" style="21" customWidth="1"/>
    <col min="13323" max="13323" width="14.109375" style="21" customWidth="1"/>
    <col min="13324" max="13574" width="8.88671875" style="21"/>
    <col min="13575" max="13575" width="4.109375" style="21" customWidth="1"/>
    <col min="13576" max="13576" width="7.33203125" style="21" customWidth="1"/>
    <col min="13577" max="13578" width="14" style="21" customWidth="1"/>
    <col min="13579" max="13579" width="14.109375" style="21" customWidth="1"/>
    <col min="13580" max="13830" width="8.88671875" style="21"/>
    <col min="13831" max="13831" width="4.109375" style="21" customWidth="1"/>
    <col min="13832" max="13832" width="7.33203125" style="21" customWidth="1"/>
    <col min="13833" max="13834" width="14" style="21" customWidth="1"/>
    <col min="13835" max="13835" width="14.109375" style="21" customWidth="1"/>
    <col min="13836" max="14086" width="8.88671875" style="21"/>
    <col min="14087" max="14087" width="4.109375" style="21" customWidth="1"/>
    <col min="14088" max="14088" width="7.33203125" style="21" customWidth="1"/>
    <col min="14089" max="14090" width="14" style="21" customWidth="1"/>
    <col min="14091" max="14091" width="14.109375" style="21" customWidth="1"/>
    <col min="14092" max="14342" width="8.88671875" style="21"/>
    <col min="14343" max="14343" width="4.109375" style="21" customWidth="1"/>
    <col min="14344" max="14344" width="7.33203125" style="21" customWidth="1"/>
    <col min="14345" max="14346" width="14" style="21" customWidth="1"/>
    <col min="14347" max="14347" width="14.109375" style="21" customWidth="1"/>
    <col min="14348" max="14598" width="8.88671875" style="21"/>
    <col min="14599" max="14599" width="4.109375" style="21" customWidth="1"/>
    <col min="14600" max="14600" width="7.33203125" style="21" customWidth="1"/>
    <col min="14601" max="14602" width="14" style="21" customWidth="1"/>
    <col min="14603" max="14603" width="14.109375" style="21" customWidth="1"/>
    <col min="14604" max="14854" width="8.88671875" style="21"/>
    <col min="14855" max="14855" width="4.109375" style="21" customWidth="1"/>
    <col min="14856" max="14856" width="7.33203125" style="21" customWidth="1"/>
    <col min="14857" max="14858" width="14" style="21" customWidth="1"/>
    <col min="14859" max="14859" width="14.109375" style="21" customWidth="1"/>
    <col min="14860" max="15110" width="8.88671875" style="21"/>
    <col min="15111" max="15111" width="4.109375" style="21" customWidth="1"/>
    <col min="15112" max="15112" width="7.33203125" style="21" customWidth="1"/>
    <col min="15113" max="15114" width="14" style="21" customWidth="1"/>
    <col min="15115" max="15115" width="14.109375" style="21" customWidth="1"/>
    <col min="15116" max="15366" width="8.88671875" style="21"/>
    <col min="15367" max="15367" width="4.109375" style="21" customWidth="1"/>
    <col min="15368" max="15368" width="7.33203125" style="21" customWidth="1"/>
    <col min="15369" max="15370" width="14" style="21" customWidth="1"/>
    <col min="15371" max="15371" width="14.109375" style="21" customWidth="1"/>
    <col min="15372" max="15622" width="8.88671875" style="21"/>
    <col min="15623" max="15623" width="4.109375" style="21" customWidth="1"/>
    <col min="15624" max="15624" width="7.33203125" style="21" customWidth="1"/>
    <col min="15625" max="15626" width="14" style="21" customWidth="1"/>
    <col min="15627" max="15627" width="14.109375" style="21" customWidth="1"/>
    <col min="15628" max="15878" width="8.88671875" style="21"/>
    <col min="15879" max="15879" width="4.109375" style="21" customWidth="1"/>
    <col min="15880" max="15880" width="7.33203125" style="21" customWidth="1"/>
    <col min="15881" max="15882" width="14" style="21" customWidth="1"/>
    <col min="15883" max="15883" width="14.109375" style="21" customWidth="1"/>
    <col min="15884" max="16134" width="8.88671875" style="21"/>
    <col min="16135" max="16135" width="4.109375" style="21" customWidth="1"/>
    <col min="16136" max="16136" width="7.33203125" style="21" customWidth="1"/>
    <col min="16137" max="16138" width="14" style="21" customWidth="1"/>
    <col min="16139" max="16139" width="14.109375" style="21" customWidth="1"/>
    <col min="16140" max="16384" width="8.88671875" style="21"/>
  </cols>
  <sheetData>
    <row r="1" spans="2:26" ht="25.5" customHeight="1" x14ac:dyDescent="0.25">
      <c r="B1" s="223" t="s">
        <v>238</v>
      </c>
      <c r="C1" s="21"/>
    </row>
    <row r="2" spans="2:26" ht="15.75" customHeight="1" x14ac:dyDescent="0.25">
      <c r="B2" s="191" t="s">
        <v>73</v>
      </c>
      <c r="C2" s="21"/>
    </row>
    <row r="3" spans="2:26" ht="18" customHeight="1" x14ac:dyDescent="0.25">
      <c r="B3" s="13" t="s">
        <v>187</v>
      </c>
      <c r="C3" s="21"/>
    </row>
    <row r="4" spans="2:26" ht="18" customHeight="1" x14ac:dyDescent="0.25">
      <c r="B4" s="13" t="s">
        <v>188</v>
      </c>
      <c r="C4" s="21"/>
    </row>
    <row r="5" spans="2:26" ht="18" customHeight="1" x14ac:dyDescent="0.25">
      <c r="B5" s="13" t="s">
        <v>189</v>
      </c>
      <c r="C5" s="21"/>
    </row>
    <row r="6" spans="2:26" ht="18" customHeight="1" x14ac:dyDescent="0.25">
      <c r="B6" s="13" t="s">
        <v>190</v>
      </c>
      <c r="C6" s="21"/>
    </row>
    <row r="7" spans="2:26" ht="18" customHeight="1" x14ac:dyDescent="0.25">
      <c r="B7" s="13" t="s">
        <v>191</v>
      </c>
      <c r="C7" s="21"/>
    </row>
    <row r="8" spans="2:26" ht="18" customHeight="1" x14ac:dyDescent="0.25">
      <c r="B8" s="13" t="s">
        <v>192</v>
      </c>
      <c r="C8" s="21"/>
    </row>
    <row r="9" spans="2:26" ht="18" customHeight="1" x14ac:dyDescent="0.25">
      <c r="B9" s="13" t="s">
        <v>193</v>
      </c>
      <c r="C9" s="21"/>
    </row>
    <row r="10" spans="2:26" ht="25.5" customHeight="1" x14ac:dyDescent="0.25">
      <c r="B10" s="135"/>
      <c r="C10" s="21"/>
    </row>
    <row r="11" spans="2:26" x14ac:dyDescent="0.25">
      <c r="B11" s="137" t="s">
        <v>113</v>
      </c>
      <c r="C11" s="137"/>
      <c r="D11" s="185"/>
      <c r="E11" s="20"/>
      <c r="F11" s="20"/>
      <c r="G11" s="138"/>
      <c r="H11" s="138"/>
      <c r="I11" s="138"/>
      <c r="J11" s="137" t="s">
        <v>114</v>
      </c>
      <c r="K11" s="21"/>
      <c r="L11" s="21"/>
      <c r="M11" s="20"/>
      <c r="N11" s="20"/>
      <c r="O11" s="138"/>
      <c r="P11" s="138"/>
      <c r="R11" s="138"/>
      <c r="S11" s="137" t="s">
        <v>115</v>
      </c>
      <c r="T11" s="137"/>
      <c r="U11" s="137"/>
      <c r="V11" s="20"/>
      <c r="W11" s="20"/>
      <c r="X11" s="138"/>
      <c r="Y11" s="138"/>
    </row>
    <row r="12" spans="2:26" ht="44.4" customHeight="1" x14ac:dyDescent="0.25">
      <c r="B12" s="275" t="s">
        <v>186</v>
      </c>
      <c r="C12" s="183" t="s">
        <v>194</v>
      </c>
      <c r="D12" s="186" t="s">
        <v>195</v>
      </c>
      <c r="E12" s="139" t="s">
        <v>116</v>
      </c>
      <c r="F12" s="140" t="s">
        <v>196</v>
      </c>
      <c r="G12" s="139" t="s">
        <v>117</v>
      </c>
      <c r="H12" s="141" t="s">
        <v>118</v>
      </c>
      <c r="I12" s="142"/>
      <c r="J12" s="275" t="s">
        <v>186</v>
      </c>
      <c r="K12" s="183" t="s">
        <v>194</v>
      </c>
      <c r="L12" s="186" t="s">
        <v>195</v>
      </c>
      <c r="M12" s="139" t="s">
        <v>116</v>
      </c>
      <c r="N12" s="140" t="s">
        <v>197</v>
      </c>
      <c r="O12" s="139" t="s">
        <v>117</v>
      </c>
      <c r="P12" s="140" t="s">
        <v>118</v>
      </c>
      <c r="Q12" s="141" t="s">
        <v>119</v>
      </c>
      <c r="R12" s="142"/>
      <c r="S12" s="275" t="s">
        <v>186</v>
      </c>
      <c r="T12" s="183" t="s">
        <v>194</v>
      </c>
      <c r="U12" s="186" t="s">
        <v>195</v>
      </c>
      <c r="V12" s="139" t="s">
        <v>116</v>
      </c>
      <c r="W12" s="140" t="s">
        <v>160</v>
      </c>
      <c r="X12" s="139" t="s">
        <v>117</v>
      </c>
      <c r="Y12" s="140" t="s">
        <v>118</v>
      </c>
      <c r="Z12" s="141" t="s">
        <v>119</v>
      </c>
    </row>
    <row r="13" spans="2:26" x14ac:dyDescent="0.25">
      <c r="B13" s="269"/>
      <c r="C13" s="144">
        <v>0</v>
      </c>
      <c r="D13" s="187">
        <v>1</v>
      </c>
      <c r="E13" s="145">
        <v>0</v>
      </c>
      <c r="F13" s="146">
        <f>'App1. Capital Req'!C10-((Establishment!C11+Establishment!C23)*H51)</f>
        <v>14526000</v>
      </c>
      <c r="G13" s="147">
        <f>E13-F13</f>
        <v>-14526000</v>
      </c>
      <c r="H13" s="148">
        <f>G13/(1+$H$53)^D13</f>
        <v>-14102912.621359223</v>
      </c>
      <c r="I13" s="147"/>
      <c r="J13" s="269"/>
      <c r="K13" s="144">
        <v>0</v>
      </c>
      <c r="L13" s="187">
        <v>1</v>
      </c>
      <c r="M13" s="145">
        <f>E13</f>
        <v>0</v>
      </c>
      <c r="N13" s="146">
        <f>'App1. Capital Req'!C9-((Establishment!C11+Establishment!C23)*Q51)</f>
        <v>4626000</v>
      </c>
      <c r="O13" s="147">
        <f>M13-N13</f>
        <v>-4626000</v>
      </c>
      <c r="P13" s="147">
        <f>O13/(1+$Q$53)^L13</f>
        <v>-4491262.1359223304</v>
      </c>
      <c r="Q13" s="149">
        <f>P13</f>
        <v>-4491262.1359223304</v>
      </c>
      <c r="R13" s="147"/>
      <c r="S13" s="269"/>
      <c r="T13" s="144">
        <v>0</v>
      </c>
      <c r="U13" s="187">
        <v>1</v>
      </c>
      <c r="V13" s="145">
        <f>E13</f>
        <v>0</v>
      </c>
      <c r="W13" s="146">
        <f>F13</f>
        <v>14526000</v>
      </c>
      <c r="X13" s="147">
        <f>V13-W13</f>
        <v>-14526000</v>
      </c>
      <c r="Y13" s="147">
        <f>X13/(1+$Z$53)^U13</f>
        <v>-14102912.621359223</v>
      </c>
      <c r="Z13" s="149">
        <f>Y13</f>
        <v>-14102912.621359223</v>
      </c>
    </row>
    <row r="14" spans="2:26" x14ac:dyDescent="0.25">
      <c r="B14" s="269"/>
      <c r="C14" s="144">
        <v>1</v>
      </c>
      <c r="D14" s="187">
        <v>2</v>
      </c>
      <c r="E14" s="145">
        <f>(H45*H47*H51)+(H46*H48*H51)</f>
        <v>5366400</v>
      </c>
      <c r="F14" s="145">
        <f>'App1. Capital Req'!D10-('Hop Production'!D16*H51)</f>
        <v>15190300</v>
      </c>
      <c r="G14" s="147">
        <f t="shared" ref="G14:G18" si="0">E14-F14</f>
        <v>-9823900</v>
      </c>
      <c r="H14" s="148">
        <f>G14/(1+$H$53)^D14</f>
        <v>-9259967.9517390896</v>
      </c>
      <c r="I14" s="147"/>
      <c r="J14" s="269"/>
      <c r="K14" s="144">
        <v>1</v>
      </c>
      <c r="L14" s="187">
        <v>2</v>
      </c>
      <c r="M14" s="145">
        <f t="shared" ref="M14:M18" si="1">E14</f>
        <v>5366400</v>
      </c>
      <c r="N14" s="146">
        <f>'App1. Capital Req'!D9-(('Hop Production'!D16+'Hop Production'!D25)*Q51)</f>
        <v>3549300</v>
      </c>
      <c r="O14" s="147">
        <f t="shared" ref="O14:O18" si="2">M14-N14</f>
        <v>1817100</v>
      </c>
      <c r="P14" s="147">
        <f>O14/(1+$Q$53)^L14</f>
        <v>1712791.0264869451</v>
      </c>
      <c r="Q14" s="149">
        <f>SUM(P$13:$P14)</f>
        <v>-2778471.1094353851</v>
      </c>
      <c r="R14" s="147"/>
      <c r="S14" s="269"/>
      <c r="T14" s="144">
        <v>1</v>
      </c>
      <c r="U14" s="187">
        <v>2</v>
      </c>
      <c r="V14" s="145">
        <f t="shared" ref="V14:W18" si="3">E14</f>
        <v>5366400</v>
      </c>
      <c r="W14" s="146">
        <f t="shared" si="3"/>
        <v>15190300</v>
      </c>
      <c r="X14" s="147">
        <f t="shared" ref="X14:X18" si="4">V14-W14</f>
        <v>-9823900</v>
      </c>
      <c r="Y14" s="147">
        <f t="shared" ref="Y14:Y18" si="5">X14/(1+$Z$53)^U14</f>
        <v>-9259967.9517390896</v>
      </c>
      <c r="Z14" s="149">
        <f>SUM($Y$13:Y14)</f>
        <v>-23362880.573098313</v>
      </c>
    </row>
    <row r="15" spans="2:26" x14ac:dyDescent="0.25">
      <c r="B15" s="269"/>
      <c r="C15" s="144">
        <v>2</v>
      </c>
      <c r="D15" s="187">
        <v>3</v>
      </c>
      <c r="E15" s="145">
        <f>(H45*H49*H51)+(H46*H50*H51)</f>
        <v>6708000</v>
      </c>
      <c r="F15" s="145">
        <f>'App1. Capital Req'!E10-('Hop Production'!E16*H51)</f>
        <v>3871200</v>
      </c>
      <c r="G15" s="147">
        <f t="shared" si="0"/>
        <v>2836800</v>
      </c>
      <c r="H15" s="148">
        <f>G15/(1+$H$53)^D15</f>
        <v>2596073.8592530428</v>
      </c>
      <c r="I15" s="147"/>
      <c r="J15" s="269"/>
      <c r="K15" s="144">
        <v>2</v>
      </c>
      <c r="L15" s="187">
        <v>3</v>
      </c>
      <c r="M15" s="145">
        <f t="shared" si="1"/>
        <v>6708000</v>
      </c>
      <c r="N15" s="146">
        <f>'App1. Capital Req'!E10-(('Hop Production'!E16+'Hop Production'!E25)*Q51)</f>
        <v>3721200</v>
      </c>
      <c r="O15" s="147">
        <f t="shared" si="2"/>
        <v>2986800</v>
      </c>
      <c r="P15" s="147">
        <f t="shared" ref="P15:P18" si="6">O15/(1+$Q$53)^L15</f>
        <v>2733345.108156017</v>
      </c>
      <c r="Q15" s="149">
        <f>SUM(P$13:$P15)</f>
        <v>-45126.001279368065</v>
      </c>
      <c r="R15" s="147"/>
      <c r="S15" s="269"/>
      <c r="T15" s="144">
        <v>2</v>
      </c>
      <c r="U15" s="187">
        <v>3</v>
      </c>
      <c r="V15" s="145">
        <f t="shared" si="3"/>
        <v>6708000</v>
      </c>
      <c r="W15" s="146">
        <f t="shared" si="3"/>
        <v>3871200</v>
      </c>
      <c r="X15" s="147">
        <f t="shared" si="4"/>
        <v>2836800</v>
      </c>
      <c r="Y15" s="147">
        <f t="shared" si="5"/>
        <v>2596073.8592530428</v>
      </c>
      <c r="Z15" s="149">
        <f>SUM($Y$13:Y15)</f>
        <v>-20766806.713845272</v>
      </c>
    </row>
    <row r="16" spans="2:26" x14ac:dyDescent="0.25">
      <c r="B16" s="269"/>
      <c r="C16" s="144">
        <v>3</v>
      </c>
      <c r="D16" s="187">
        <v>4</v>
      </c>
      <c r="E16" s="145">
        <f>E15</f>
        <v>6708000</v>
      </c>
      <c r="F16" s="145">
        <f>F15</f>
        <v>3871200</v>
      </c>
      <c r="G16" s="147">
        <f t="shared" si="0"/>
        <v>2836800</v>
      </c>
      <c r="H16" s="148">
        <f t="shared" ref="H16:H18" si="7">G16/(1+$H$53)^D16</f>
        <v>2520460.0575272264</v>
      </c>
      <c r="I16" s="147"/>
      <c r="J16" s="269"/>
      <c r="K16" s="144">
        <v>3</v>
      </c>
      <c r="L16" s="187">
        <v>4</v>
      </c>
      <c r="M16" s="145">
        <f t="shared" si="1"/>
        <v>6708000</v>
      </c>
      <c r="N16" s="146">
        <f>N15</f>
        <v>3721200</v>
      </c>
      <c r="O16" s="147">
        <f t="shared" si="2"/>
        <v>2986800</v>
      </c>
      <c r="P16" s="147">
        <f t="shared" si="6"/>
        <v>2653733.1147145797</v>
      </c>
      <c r="Q16" s="149">
        <f>SUM(P$13:$P16)</f>
        <v>2608607.1134352116</v>
      </c>
      <c r="R16" s="147"/>
      <c r="S16" s="269"/>
      <c r="T16" s="144">
        <v>3</v>
      </c>
      <c r="U16" s="187">
        <v>4</v>
      </c>
      <c r="V16" s="145">
        <f t="shared" si="3"/>
        <v>6708000</v>
      </c>
      <c r="W16" s="146">
        <f t="shared" si="3"/>
        <v>3871200</v>
      </c>
      <c r="X16" s="147">
        <f t="shared" si="4"/>
        <v>2836800</v>
      </c>
      <c r="Y16" s="147">
        <f t="shared" si="5"/>
        <v>2520460.0575272264</v>
      </c>
      <c r="Z16" s="149">
        <f>SUM($Y$13:Y16)</f>
        <v>-18246346.656318046</v>
      </c>
    </row>
    <row r="17" spans="2:26" x14ac:dyDescent="0.25">
      <c r="B17" s="269"/>
      <c r="C17" s="144">
        <v>4</v>
      </c>
      <c r="D17" s="187">
        <v>5</v>
      </c>
      <c r="E17" s="145">
        <f t="shared" ref="E17:E18" si="8">E16</f>
        <v>6708000</v>
      </c>
      <c r="F17" s="145">
        <f t="shared" ref="F17:F18" si="9">F16</f>
        <v>3871200</v>
      </c>
      <c r="G17" s="147">
        <f t="shared" si="0"/>
        <v>2836800</v>
      </c>
      <c r="H17" s="148">
        <f t="shared" si="7"/>
        <v>2447048.5995409968</v>
      </c>
      <c r="I17" s="147"/>
      <c r="J17" s="269"/>
      <c r="K17" s="144">
        <v>4</v>
      </c>
      <c r="L17" s="187">
        <v>5</v>
      </c>
      <c r="M17" s="145">
        <f t="shared" si="1"/>
        <v>6708000</v>
      </c>
      <c r="N17" s="146">
        <f t="shared" ref="N17:N18" si="10">N16</f>
        <v>3721200</v>
      </c>
      <c r="O17" s="147">
        <f t="shared" si="2"/>
        <v>2986800</v>
      </c>
      <c r="P17" s="147">
        <f t="shared" si="6"/>
        <v>2576439.9171986212</v>
      </c>
      <c r="Q17" s="149">
        <f>SUM(P$13:$P17)</f>
        <v>5185047.0306338333</v>
      </c>
      <c r="R17" s="147"/>
      <c r="S17" s="269"/>
      <c r="T17" s="144">
        <v>4</v>
      </c>
      <c r="U17" s="187">
        <v>5</v>
      </c>
      <c r="V17" s="145">
        <f t="shared" si="3"/>
        <v>6708000</v>
      </c>
      <c r="W17" s="146">
        <f t="shared" si="3"/>
        <v>3871200</v>
      </c>
      <c r="X17" s="147">
        <f t="shared" si="4"/>
        <v>2836800</v>
      </c>
      <c r="Y17" s="147">
        <f t="shared" si="5"/>
        <v>2447048.5995409968</v>
      </c>
      <c r="Z17" s="149">
        <f>SUM($Y$13:Y17)</f>
        <v>-15799298.056777049</v>
      </c>
    </row>
    <row r="18" spans="2:26" x14ac:dyDescent="0.25">
      <c r="B18" s="269"/>
      <c r="C18" s="144">
        <f t="shared" ref="C18" si="11">1+C17</f>
        <v>5</v>
      </c>
      <c r="D18" s="187">
        <v>6</v>
      </c>
      <c r="E18" s="145">
        <f t="shared" si="8"/>
        <v>6708000</v>
      </c>
      <c r="F18" s="145">
        <f t="shared" si="9"/>
        <v>3871200</v>
      </c>
      <c r="G18" s="147">
        <f t="shared" si="0"/>
        <v>2836800</v>
      </c>
      <c r="H18" s="148">
        <f t="shared" si="7"/>
        <v>2375775.339360191</v>
      </c>
      <c r="I18" s="147"/>
      <c r="J18" s="269"/>
      <c r="K18" s="144">
        <f t="shared" ref="K18" si="12">1+K17</f>
        <v>5</v>
      </c>
      <c r="L18" s="187">
        <v>6</v>
      </c>
      <c r="M18" s="145">
        <f t="shared" si="1"/>
        <v>6708000</v>
      </c>
      <c r="N18" s="146">
        <f t="shared" si="10"/>
        <v>3721200</v>
      </c>
      <c r="O18" s="147">
        <f t="shared" si="2"/>
        <v>2986800</v>
      </c>
      <c r="P18" s="147">
        <f t="shared" si="6"/>
        <v>2501397.977862739</v>
      </c>
      <c r="Q18" s="149">
        <f>SUM(P$13:$P18)</f>
        <v>7686445.0084965723</v>
      </c>
      <c r="R18" s="147"/>
      <c r="S18" s="269"/>
      <c r="T18" s="144">
        <f t="shared" ref="T18" si="13">1+T17</f>
        <v>5</v>
      </c>
      <c r="U18" s="187">
        <v>6</v>
      </c>
      <c r="V18" s="145">
        <f t="shared" si="3"/>
        <v>6708000</v>
      </c>
      <c r="W18" s="146">
        <f t="shared" si="3"/>
        <v>3871200</v>
      </c>
      <c r="X18" s="147">
        <f t="shared" si="4"/>
        <v>2836800</v>
      </c>
      <c r="Y18" s="147">
        <f t="shared" si="5"/>
        <v>2375775.339360191</v>
      </c>
      <c r="Z18" s="149">
        <f>SUM($Y$13:Y18)</f>
        <v>-13423522.717416858</v>
      </c>
    </row>
    <row r="19" spans="2:26" x14ac:dyDescent="0.25">
      <c r="B19" s="143"/>
      <c r="C19" s="144"/>
      <c r="D19" s="187"/>
      <c r="E19" s="145"/>
      <c r="F19" s="145"/>
      <c r="G19" s="147"/>
      <c r="H19" s="148"/>
      <c r="I19" s="147"/>
      <c r="J19" s="143"/>
      <c r="K19" s="144"/>
      <c r="L19" s="187"/>
      <c r="M19" s="145"/>
      <c r="N19" s="146"/>
      <c r="O19" s="147"/>
      <c r="P19" s="147"/>
      <c r="Q19" s="149"/>
      <c r="R19" s="147"/>
      <c r="S19" s="143"/>
      <c r="T19" s="144"/>
      <c r="U19" s="187"/>
      <c r="V19" s="145"/>
      <c r="W19" s="146"/>
      <c r="X19" s="147"/>
      <c r="Y19" s="147"/>
      <c r="Z19" s="149"/>
    </row>
    <row r="20" spans="2:26" ht="29.25" customHeight="1" x14ac:dyDescent="0.25">
      <c r="B20" s="269" t="s">
        <v>185</v>
      </c>
      <c r="C20" s="184"/>
      <c r="D20" s="188"/>
      <c r="E20" s="145"/>
      <c r="F20" s="145"/>
      <c r="G20" s="147"/>
      <c r="H20" s="148"/>
      <c r="I20" s="147"/>
      <c r="J20" s="269" t="s">
        <v>185</v>
      </c>
      <c r="K20" s="184"/>
      <c r="L20" s="188"/>
      <c r="M20" s="145"/>
      <c r="N20" s="146"/>
      <c r="O20" s="147"/>
      <c r="P20" s="147"/>
      <c r="Q20" s="149"/>
      <c r="R20" s="147"/>
      <c r="S20" s="269" t="s">
        <v>185</v>
      </c>
      <c r="T20" s="184"/>
      <c r="U20" s="188"/>
      <c r="V20" s="145"/>
      <c r="W20" s="146"/>
      <c r="X20" s="147"/>
      <c r="Y20" s="147"/>
      <c r="Z20" s="149"/>
    </row>
    <row r="21" spans="2:26" x14ac:dyDescent="0.25">
      <c r="B21" s="269"/>
      <c r="C21" s="144">
        <v>0</v>
      </c>
      <c r="D21" s="187">
        <v>7</v>
      </c>
      <c r="E21" s="145">
        <v>0</v>
      </c>
      <c r="F21" s="146">
        <f>'App1. Capital Req'!$C$9-((Establishment!$C$11+Establishment!$C$23)*$H$51)</f>
        <v>4626000</v>
      </c>
      <c r="G21" s="147">
        <f>E21-F21</f>
        <v>-4626000</v>
      </c>
      <c r="H21" s="148">
        <f t="shared" ref="H21:H26" si="14">G21/(1+$H$53)^D21</f>
        <v>-3761361.3314743545</v>
      </c>
      <c r="I21" s="147"/>
      <c r="J21" s="269"/>
      <c r="K21" s="144">
        <v>0</v>
      </c>
      <c r="L21" s="187">
        <v>7</v>
      </c>
      <c r="M21" s="145">
        <f>E21</f>
        <v>0</v>
      </c>
      <c r="N21" s="146">
        <f>N15</f>
        <v>3721200</v>
      </c>
      <c r="O21" s="147">
        <f>M21-N21</f>
        <v>-3721200</v>
      </c>
      <c r="P21" s="147">
        <f t="shared" ref="P21:P26" si="15">O21/(1+$Q$53)^L21</f>
        <v>-3025676.1320108878</v>
      </c>
      <c r="Q21" s="149">
        <f>SUM(P$13:$P21)</f>
        <v>4660768.8764856849</v>
      </c>
      <c r="R21" s="147"/>
      <c r="S21" s="269"/>
      <c r="T21" s="144">
        <v>0</v>
      </c>
      <c r="U21" s="187">
        <v>7</v>
      </c>
      <c r="V21" s="145">
        <f>E21</f>
        <v>0</v>
      </c>
      <c r="W21" s="146">
        <f>F21</f>
        <v>4626000</v>
      </c>
      <c r="X21" s="147">
        <f>V21-W21</f>
        <v>-4626000</v>
      </c>
      <c r="Y21" s="147">
        <f>X21/(1+$Z$53)^U21</f>
        <v>-3761361.3314743545</v>
      </c>
      <c r="Z21" s="149">
        <f>SUM($Y$13:Y21)</f>
        <v>-17184884.048891213</v>
      </c>
    </row>
    <row r="22" spans="2:26" x14ac:dyDescent="0.25">
      <c r="B22" s="269"/>
      <c r="C22" s="144">
        <v>1</v>
      </c>
      <c r="D22" s="187">
        <v>8</v>
      </c>
      <c r="E22" s="145">
        <f>E14</f>
        <v>5366400</v>
      </c>
      <c r="F22" s="146">
        <f>'App1. Capital Req'!$D$9-('Hop Production'!$D$16*$H$51)</f>
        <v>3699300</v>
      </c>
      <c r="G22" s="147">
        <f t="shared" ref="G22:G26" si="16">E22-F22</f>
        <v>1667100</v>
      </c>
      <c r="H22" s="148">
        <f t="shared" si="14"/>
        <v>1316024.1345247624</v>
      </c>
      <c r="I22" s="147"/>
      <c r="J22" s="269"/>
      <c r="K22" s="144">
        <v>1</v>
      </c>
      <c r="L22" s="187">
        <v>8</v>
      </c>
      <c r="M22" s="145">
        <f t="shared" ref="M22:M26" si="17">E22</f>
        <v>5366400</v>
      </c>
      <c r="N22" s="146">
        <f>N21</f>
        <v>3721200</v>
      </c>
      <c r="O22" s="147">
        <f t="shared" ref="O22:O26" si="18">M22-N22</f>
        <v>1645200</v>
      </c>
      <c r="P22" s="147">
        <f t="shared" si="15"/>
        <v>1298736.0722932871</v>
      </c>
      <c r="Q22" s="149">
        <f>SUM(P$13:$P22)</f>
        <v>5959504.948778972</v>
      </c>
      <c r="R22" s="147"/>
      <c r="S22" s="269"/>
      <c r="T22" s="144">
        <v>1</v>
      </c>
      <c r="U22" s="187">
        <v>8</v>
      </c>
      <c r="V22" s="145">
        <f t="shared" ref="V22:V26" si="19">E22</f>
        <v>5366400</v>
      </c>
      <c r="W22" s="146">
        <f t="shared" ref="W22:W26" si="20">F22</f>
        <v>3699300</v>
      </c>
      <c r="X22" s="147">
        <f t="shared" ref="X22:X26" si="21">V22-W22</f>
        <v>1667100</v>
      </c>
      <c r="Y22" s="147">
        <f t="shared" ref="Y22:Y26" si="22">X22/(1+$Z$53)^U22</f>
        <v>1316024.1345247624</v>
      </c>
      <c r="Z22" s="149">
        <f>SUM($Y$13:Y22)</f>
        <v>-15868859.91436645</v>
      </c>
    </row>
    <row r="23" spans="2:26" x14ac:dyDescent="0.25">
      <c r="B23" s="269"/>
      <c r="C23" s="144">
        <v>2</v>
      </c>
      <c r="D23" s="187">
        <v>9</v>
      </c>
      <c r="E23" s="145">
        <f t="shared" ref="E23:E26" si="23">E15</f>
        <v>6708000</v>
      </c>
      <c r="F23" s="146">
        <f>'App1. Capital Req'!E9-('Hop Production'!E16*H51)</f>
        <v>3871200</v>
      </c>
      <c r="G23" s="147">
        <f t="shared" si="16"/>
        <v>2836800</v>
      </c>
      <c r="H23" s="148">
        <f t="shared" si="14"/>
        <v>2174170.986312401</v>
      </c>
      <c r="I23" s="147"/>
      <c r="J23" s="269"/>
      <c r="K23" s="144">
        <v>2</v>
      </c>
      <c r="L23" s="187">
        <v>9</v>
      </c>
      <c r="M23" s="145">
        <f t="shared" si="17"/>
        <v>6708000</v>
      </c>
      <c r="N23" s="146">
        <f t="shared" ref="N23:N26" si="24">N22</f>
        <v>3721200</v>
      </c>
      <c r="O23" s="147">
        <f t="shared" si="18"/>
        <v>2986800</v>
      </c>
      <c r="P23" s="147">
        <f t="shared" si="15"/>
        <v>2289133.4961639452</v>
      </c>
      <c r="Q23" s="149">
        <f>SUM(P$13:$P23)</f>
        <v>8248638.4449429177</v>
      </c>
      <c r="R23" s="147"/>
      <c r="S23" s="269"/>
      <c r="T23" s="144">
        <v>2</v>
      </c>
      <c r="U23" s="187">
        <v>9</v>
      </c>
      <c r="V23" s="145">
        <f t="shared" si="19"/>
        <v>6708000</v>
      </c>
      <c r="W23" s="146">
        <f t="shared" si="20"/>
        <v>3871200</v>
      </c>
      <c r="X23" s="147">
        <f t="shared" si="21"/>
        <v>2836800</v>
      </c>
      <c r="Y23" s="147">
        <f t="shared" si="22"/>
        <v>2174170.986312401</v>
      </c>
      <c r="Z23" s="149">
        <f>SUM($Y$13:Y23)</f>
        <v>-13694688.92805405</v>
      </c>
    </row>
    <row r="24" spans="2:26" x14ac:dyDescent="0.25">
      <c r="B24" s="269"/>
      <c r="C24" s="144">
        <v>3</v>
      </c>
      <c r="D24" s="187">
        <v>10</v>
      </c>
      <c r="E24" s="145">
        <f t="shared" si="23"/>
        <v>6708000</v>
      </c>
      <c r="F24" s="146">
        <f t="shared" ref="F24:F26" si="25">F23</f>
        <v>3871200</v>
      </c>
      <c r="G24" s="147">
        <f t="shared" si="16"/>
        <v>2836800</v>
      </c>
      <c r="H24" s="148">
        <f t="shared" si="14"/>
        <v>2110845.61777903</v>
      </c>
      <c r="I24" s="147"/>
      <c r="J24" s="269"/>
      <c r="K24" s="144">
        <v>3</v>
      </c>
      <c r="L24" s="187">
        <v>10</v>
      </c>
      <c r="M24" s="145">
        <f t="shared" si="17"/>
        <v>6708000</v>
      </c>
      <c r="N24" s="146">
        <f t="shared" si="24"/>
        <v>3721200</v>
      </c>
      <c r="O24" s="147">
        <f t="shared" si="18"/>
        <v>2986800</v>
      </c>
      <c r="P24" s="147">
        <f t="shared" si="15"/>
        <v>2222459.7050135387</v>
      </c>
      <c r="Q24" s="149">
        <f>SUM(P$13:$P24)</f>
        <v>10471098.149956457</v>
      </c>
      <c r="R24" s="147"/>
      <c r="S24" s="269"/>
      <c r="T24" s="144">
        <v>3</v>
      </c>
      <c r="U24" s="187">
        <v>10</v>
      </c>
      <c r="V24" s="145">
        <f t="shared" si="19"/>
        <v>6708000</v>
      </c>
      <c r="W24" s="146">
        <f t="shared" si="20"/>
        <v>3871200</v>
      </c>
      <c r="X24" s="147">
        <f t="shared" si="21"/>
        <v>2836800</v>
      </c>
      <c r="Y24" s="147">
        <f t="shared" si="22"/>
        <v>2110845.61777903</v>
      </c>
      <c r="Z24" s="149">
        <f>SUM($Y$13:Y24)</f>
        <v>-11583843.31027502</v>
      </c>
    </row>
    <row r="25" spans="2:26" x14ac:dyDescent="0.25">
      <c r="B25" s="269"/>
      <c r="C25" s="144">
        <v>4</v>
      </c>
      <c r="D25" s="187">
        <v>11</v>
      </c>
      <c r="E25" s="145">
        <f t="shared" si="23"/>
        <v>6708000</v>
      </c>
      <c r="F25" s="146">
        <f t="shared" si="25"/>
        <v>3871200</v>
      </c>
      <c r="G25" s="147">
        <f t="shared" si="16"/>
        <v>2836800</v>
      </c>
      <c r="H25" s="148">
        <f t="shared" si="14"/>
        <v>2049364.6774553689</v>
      </c>
      <c r="I25" s="147"/>
      <c r="J25" s="269"/>
      <c r="K25" s="144">
        <v>4</v>
      </c>
      <c r="L25" s="187">
        <v>11</v>
      </c>
      <c r="M25" s="145">
        <f t="shared" si="17"/>
        <v>6708000</v>
      </c>
      <c r="N25" s="146">
        <f t="shared" si="24"/>
        <v>3721200</v>
      </c>
      <c r="O25" s="147">
        <f t="shared" si="18"/>
        <v>2986800</v>
      </c>
      <c r="P25" s="147">
        <f t="shared" si="15"/>
        <v>2157727.8689451832</v>
      </c>
      <c r="Q25" s="149">
        <f>SUM(P$13:$P25)</f>
        <v>12628826.018901641</v>
      </c>
      <c r="R25" s="147"/>
      <c r="S25" s="269"/>
      <c r="T25" s="144">
        <v>4</v>
      </c>
      <c r="U25" s="187">
        <v>11</v>
      </c>
      <c r="V25" s="145">
        <f t="shared" si="19"/>
        <v>6708000</v>
      </c>
      <c r="W25" s="146">
        <f t="shared" si="20"/>
        <v>3871200</v>
      </c>
      <c r="X25" s="147">
        <f t="shared" si="21"/>
        <v>2836800</v>
      </c>
      <c r="Y25" s="147">
        <f t="shared" si="22"/>
        <v>2049364.6774553689</v>
      </c>
      <c r="Z25" s="149">
        <f>SUM($Y$13:Y25)</f>
        <v>-9534478.6328196507</v>
      </c>
    </row>
    <row r="26" spans="2:26" x14ac:dyDescent="0.25">
      <c r="B26" s="269"/>
      <c r="C26" s="144">
        <f t="shared" ref="C26" si="26">1+C25</f>
        <v>5</v>
      </c>
      <c r="D26" s="187">
        <v>12</v>
      </c>
      <c r="E26" s="145">
        <f t="shared" si="23"/>
        <v>6708000</v>
      </c>
      <c r="F26" s="146">
        <f t="shared" si="25"/>
        <v>3871200</v>
      </c>
      <c r="G26" s="147">
        <f t="shared" si="16"/>
        <v>2836800</v>
      </c>
      <c r="H26" s="148">
        <f t="shared" si="14"/>
        <v>1989674.4441314265</v>
      </c>
      <c r="I26" s="147"/>
      <c r="J26" s="269"/>
      <c r="K26" s="144">
        <f t="shared" ref="K26" si="27">1+K25</f>
        <v>5</v>
      </c>
      <c r="L26" s="187">
        <v>12</v>
      </c>
      <c r="M26" s="145">
        <f t="shared" si="17"/>
        <v>6708000</v>
      </c>
      <c r="N26" s="146">
        <f t="shared" si="24"/>
        <v>3721200</v>
      </c>
      <c r="O26" s="147">
        <f t="shared" si="18"/>
        <v>2986800</v>
      </c>
      <c r="P26" s="147">
        <f t="shared" si="15"/>
        <v>2094881.4261603723</v>
      </c>
      <c r="Q26" s="149">
        <f>SUM(P$13:$P26)</f>
        <v>14723707.445062013</v>
      </c>
      <c r="R26" s="147"/>
      <c r="S26" s="269"/>
      <c r="T26" s="144">
        <f t="shared" ref="T26" si="28">1+T25</f>
        <v>5</v>
      </c>
      <c r="U26" s="187">
        <v>12</v>
      </c>
      <c r="V26" s="145">
        <f t="shared" si="19"/>
        <v>6708000</v>
      </c>
      <c r="W26" s="146">
        <f t="shared" si="20"/>
        <v>3871200</v>
      </c>
      <c r="X26" s="147">
        <f t="shared" si="21"/>
        <v>2836800</v>
      </c>
      <c r="Y26" s="147">
        <f t="shared" si="22"/>
        <v>1989674.4441314265</v>
      </c>
      <c r="Z26" s="149">
        <f>SUM($Y$13:Y26)</f>
        <v>-7544804.1886882242</v>
      </c>
    </row>
    <row r="27" spans="2:26" x14ac:dyDescent="0.25">
      <c r="B27" s="150"/>
      <c r="C27" s="144"/>
      <c r="D27" s="187"/>
      <c r="E27" s="20"/>
      <c r="F27" s="20"/>
      <c r="G27" s="138"/>
      <c r="H27" s="151"/>
      <c r="I27" s="138"/>
      <c r="J27" s="150"/>
      <c r="K27" s="144"/>
      <c r="L27" s="187"/>
      <c r="M27" s="20"/>
      <c r="N27" s="20"/>
      <c r="O27" s="138"/>
      <c r="P27" s="138"/>
      <c r="Q27" s="152"/>
      <c r="R27" s="138"/>
      <c r="S27" s="150"/>
      <c r="T27" s="144"/>
      <c r="U27" s="187"/>
      <c r="V27" s="20"/>
      <c r="W27" s="20"/>
      <c r="X27" s="138"/>
      <c r="Y27" s="138"/>
      <c r="Z27" s="152"/>
    </row>
    <row r="28" spans="2:26" ht="29.25" customHeight="1" x14ac:dyDescent="0.25">
      <c r="B28" s="269" t="s">
        <v>184</v>
      </c>
      <c r="C28" s="184"/>
      <c r="D28" s="188"/>
      <c r="E28" s="145"/>
      <c r="F28" s="145"/>
      <c r="G28" s="147"/>
      <c r="H28" s="148"/>
      <c r="I28" s="147"/>
      <c r="J28" s="269" t="s">
        <v>184</v>
      </c>
      <c r="K28" s="184"/>
      <c r="L28" s="188"/>
      <c r="M28" s="145"/>
      <c r="N28" s="146"/>
      <c r="O28" s="147"/>
      <c r="P28" s="147"/>
      <c r="Q28" s="149"/>
      <c r="R28" s="147"/>
      <c r="S28" s="269" t="s">
        <v>184</v>
      </c>
      <c r="T28" s="184"/>
      <c r="U28" s="188"/>
      <c r="V28" s="145"/>
      <c r="W28" s="146"/>
      <c r="X28" s="147"/>
      <c r="Y28" s="147"/>
      <c r="Z28" s="149"/>
    </row>
    <row r="29" spans="2:26" x14ac:dyDescent="0.25">
      <c r="B29" s="269"/>
      <c r="C29" s="144">
        <v>0</v>
      </c>
      <c r="D29" s="187">
        <v>13</v>
      </c>
      <c r="E29" s="145">
        <v>0</v>
      </c>
      <c r="F29" s="146">
        <f t="shared" ref="F29:F34" si="29">F21</f>
        <v>4626000</v>
      </c>
      <c r="G29" s="147">
        <f>E29-F29</f>
        <v>-4626000</v>
      </c>
      <c r="H29" s="148">
        <f t="shared" ref="H29:H34" si="30">G29/(1+$H$53)^D29</f>
        <v>-3150080.8988084411</v>
      </c>
      <c r="I29" s="147"/>
      <c r="J29" s="269"/>
      <c r="K29" s="144">
        <f>C29</f>
        <v>0</v>
      </c>
      <c r="L29" s="187">
        <v>13</v>
      </c>
      <c r="M29" s="145">
        <f>E29</f>
        <v>0</v>
      </c>
      <c r="N29" s="146">
        <f>N23</f>
        <v>3721200</v>
      </c>
      <c r="O29" s="147">
        <f>M29-N29</f>
        <v>-3721200</v>
      </c>
      <c r="P29" s="147">
        <f t="shared" ref="P29:P34" si="31">O29/(1+$Q$53)^L29</f>
        <v>-2533956.1263826136</v>
      </c>
      <c r="Q29" s="149">
        <f>SUM(P$13:$P29)</f>
        <v>12189751.3186794</v>
      </c>
      <c r="R29" s="147"/>
      <c r="S29" s="269"/>
      <c r="T29" s="144">
        <v>0</v>
      </c>
      <c r="U29" s="187">
        <v>13</v>
      </c>
      <c r="V29" s="145">
        <f>E29</f>
        <v>0</v>
      </c>
      <c r="W29" s="146">
        <f>F29</f>
        <v>4626000</v>
      </c>
      <c r="X29" s="147">
        <f>V29-W29</f>
        <v>-4626000</v>
      </c>
      <c r="Y29" s="147">
        <f>X29/(1+$Z$53)^U29</f>
        <v>-3150080.8988084411</v>
      </c>
      <c r="Z29" s="149">
        <f>SUM($Y$13:Y29)</f>
        <v>-10694885.087496664</v>
      </c>
    </row>
    <row r="30" spans="2:26" x14ac:dyDescent="0.25">
      <c r="B30" s="269"/>
      <c r="C30" s="144">
        <v>1</v>
      </c>
      <c r="D30" s="187">
        <v>14</v>
      </c>
      <c r="E30" s="145">
        <f>E22</f>
        <v>5366400</v>
      </c>
      <c r="F30" s="146">
        <f t="shared" si="29"/>
        <v>3699300</v>
      </c>
      <c r="G30" s="147">
        <f t="shared" ref="G30:G34" si="32">E30-F30</f>
        <v>1667100</v>
      </c>
      <c r="H30" s="148">
        <f t="shared" si="30"/>
        <v>1102149.4940802201</v>
      </c>
      <c r="I30" s="147"/>
      <c r="J30" s="269"/>
      <c r="K30" s="144">
        <f t="shared" ref="K30:K32" si="33">C30</f>
        <v>1</v>
      </c>
      <c r="L30" s="187">
        <v>14</v>
      </c>
      <c r="M30" s="145">
        <f t="shared" ref="M30:M34" si="34">E30</f>
        <v>5366400</v>
      </c>
      <c r="N30" s="146">
        <f>N29</f>
        <v>3721200</v>
      </c>
      <c r="O30" s="147">
        <f t="shared" ref="O30:O34" si="35">M30-N30</f>
        <v>1645200</v>
      </c>
      <c r="P30" s="147">
        <f t="shared" si="31"/>
        <v>1087671.0141327924</v>
      </c>
      <c r="Q30" s="149">
        <f>SUM(P$13:$P30)</f>
        <v>13277422.332812192</v>
      </c>
      <c r="R30" s="147"/>
      <c r="S30" s="269"/>
      <c r="T30" s="144">
        <v>1</v>
      </c>
      <c r="U30" s="187">
        <v>14</v>
      </c>
      <c r="V30" s="145">
        <f t="shared" ref="V30:V34" si="36">E30</f>
        <v>5366400</v>
      </c>
      <c r="W30" s="146">
        <f t="shared" ref="W30:W34" si="37">F30</f>
        <v>3699300</v>
      </c>
      <c r="X30" s="147">
        <f t="shared" ref="X30:X34" si="38">V30-W30</f>
        <v>1667100</v>
      </c>
      <c r="Y30" s="147">
        <f t="shared" ref="Y30:Y34" si="39">X30/(1+$Z$53)^U30</f>
        <v>1102149.4940802201</v>
      </c>
      <c r="Z30" s="149">
        <f>SUM($Y$13:Y30)</f>
        <v>-9592735.593416445</v>
      </c>
    </row>
    <row r="31" spans="2:26" x14ac:dyDescent="0.25">
      <c r="B31" s="269"/>
      <c r="C31" s="144">
        <v>2</v>
      </c>
      <c r="D31" s="187">
        <v>15</v>
      </c>
      <c r="E31" s="145">
        <f t="shared" ref="E31:E34" si="40">E23</f>
        <v>6708000</v>
      </c>
      <c r="F31" s="146">
        <f t="shared" si="29"/>
        <v>3871200</v>
      </c>
      <c r="G31" s="147">
        <f t="shared" si="32"/>
        <v>2836800</v>
      </c>
      <c r="H31" s="148">
        <f t="shared" si="30"/>
        <v>1820833.9723750087</v>
      </c>
      <c r="I31" s="147"/>
      <c r="J31" s="269"/>
      <c r="K31" s="144">
        <f t="shared" si="33"/>
        <v>2</v>
      </c>
      <c r="L31" s="187">
        <v>15</v>
      </c>
      <c r="M31" s="145">
        <f t="shared" si="34"/>
        <v>6708000</v>
      </c>
      <c r="N31" s="146">
        <f t="shared" ref="N31:N34" si="41">N30</f>
        <v>3721200</v>
      </c>
      <c r="O31" s="147">
        <f t="shared" si="35"/>
        <v>2986800</v>
      </c>
      <c r="P31" s="147">
        <f t="shared" si="31"/>
        <v>1917113.2644845163</v>
      </c>
      <c r="Q31" s="149">
        <f>SUM(P$13:$P31)</f>
        <v>15194535.597296707</v>
      </c>
      <c r="R31" s="147"/>
      <c r="S31" s="269"/>
      <c r="T31" s="144">
        <v>2</v>
      </c>
      <c r="U31" s="187">
        <v>15</v>
      </c>
      <c r="V31" s="145">
        <f t="shared" si="36"/>
        <v>6708000</v>
      </c>
      <c r="W31" s="146">
        <f t="shared" si="37"/>
        <v>3871200</v>
      </c>
      <c r="X31" s="147">
        <f t="shared" si="38"/>
        <v>2836800</v>
      </c>
      <c r="Y31" s="147">
        <f t="shared" si="39"/>
        <v>1820833.9723750087</v>
      </c>
      <c r="Z31" s="149">
        <f>SUM($Y$13:Y31)</f>
        <v>-7771901.6210414357</v>
      </c>
    </row>
    <row r="32" spans="2:26" x14ac:dyDescent="0.25">
      <c r="B32" s="269"/>
      <c r="C32" s="144">
        <v>3</v>
      </c>
      <c r="D32" s="187">
        <v>16</v>
      </c>
      <c r="E32" s="145">
        <f t="shared" si="40"/>
        <v>6708000</v>
      </c>
      <c r="F32" s="146">
        <f t="shared" si="29"/>
        <v>3871200</v>
      </c>
      <c r="G32" s="147">
        <f t="shared" si="32"/>
        <v>2836800</v>
      </c>
      <c r="H32" s="148">
        <f t="shared" si="30"/>
        <v>1767799.9731796205</v>
      </c>
      <c r="I32" s="147"/>
      <c r="J32" s="269"/>
      <c r="K32" s="144">
        <f t="shared" si="33"/>
        <v>3</v>
      </c>
      <c r="L32" s="187">
        <v>16</v>
      </c>
      <c r="M32" s="145">
        <f t="shared" si="34"/>
        <v>6708000</v>
      </c>
      <c r="N32" s="146">
        <f t="shared" si="41"/>
        <v>3721200</v>
      </c>
      <c r="O32" s="147">
        <f t="shared" si="35"/>
        <v>2986800</v>
      </c>
      <c r="P32" s="147">
        <f t="shared" si="31"/>
        <v>1861275.0140626377</v>
      </c>
      <c r="Q32" s="149">
        <f>SUM(P$13:$P32)</f>
        <v>17055810.611359347</v>
      </c>
      <c r="R32" s="147"/>
      <c r="S32" s="269"/>
      <c r="T32" s="144">
        <v>3</v>
      </c>
      <c r="U32" s="187">
        <v>16</v>
      </c>
      <c r="V32" s="145">
        <f t="shared" si="36"/>
        <v>6708000</v>
      </c>
      <c r="W32" s="146">
        <f t="shared" si="37"/>
        <v>3871200</v>
      </c>
      <c r="X32" s="147">
        <f t="shared" si="38"/>
        <v>2836800</v>
      </c>
      <c r="Y32" s="147">
        <f t="shared" si="39"/>
        <v>1767799.9731796205</v>
      </c>
      <c r="Z32" s="149">
        <f>SUM($Y$13:Y32)</f>
        <v>-6004101.6478618151</v>
      </c>
    </row>
    <row r="33" spans="2:26" x14ac:dyDescent="0.25">
      <c r="B33" s="269"/>
      <c r="C33" s="144">
        <v>4</v>
      </c>
      <c r="D33" s="187">
        <v>17</v>
      </c>
      <c r="E33" s="145">
        <f t="shared" si="40"/>
        <v>6708000</v>
      </c>
      <c r="F33" s="146">
        <f t="shared" si="29"/>
        <v>3871200</v>
      </c>
      <c r="G33" s="147">
        <f t="shared" si="32"/>
        <v>2836800</v>
      </c>
      <c r="H33" s="148">
        <f t="shared" si="30"/>
        <v>1716310.6535724471</v>
      </c>
      <c r="I33" s="147"/>
      <c r="J33" s="269"/>
      <c r="K33" s="144">
        <f>C33</f>
        <v>4</v>
      </c>
      <c r="L33" s="187">
        <v>17</v>
      </c>
      <c r="M33" s="145">
        <f t="shared" si="34"/>
        <v>6708000</v>
      </c>
      <c r="N33" s="146">
        <f t="shared" si="41"/>
        <v>3721200</v>
      </c>
      <c r="O33" s="147">
        <f t="shared" si="35"/>
        <v>2986800</v>
      </c>
      <c r="P33" s="147">
        <f t="shared" si="31"/>
        <v>1807063.1204491628</v>
      </c>
      <c r="Q33" s="149">
        <f>SUM(P$13:$P33)</f>
        <v>18862873.73180851</v>
      </c>
      <c r="R33" s="147"/>
      <c r="S33" s="269"/>
      <c r="T33" s="144">
        <v>4</v>
      </c>
      <c r="U33" s="187">
        <v>17</v>
      </c>
      <c r="V33" s="145">
        <f t="shared" si="36"/>
        <v>6708000</v>
      </c>
      <c r="W33" s="146">
        <f t="shared" si="37"/>
        <v>3871200</v>
      </c>
      <c r="X33" s="147">
        <f t="shared" si="38"/>
        <v>2836800</v>
      </c>
      <c r="Y33" s="147">
        <f t="shared" si="39"/>
        <v>1716310.6535724471</v>
      </c>
      <c r="Z33" s="149">
        <f>SUM($Y$13:Y33)</f>
        <v>-4287790.9942893684</v>
      </c>
    </row>
    <row r="34" spans="2:26" x14ac:dyDescent="0.25">
      <c r="B34" s="269"/>
      <c r="C34" s="144">
        <f t="shared" ref="C34" si="42">1+C33</f>
        <v>5</v>
      </c>
      <c r="D34" s="187">
        <v>18</v>
      </c>
      <c r="E34" s="145">
        <f t="shared" si="40"/>
        <v>6708000</v>
      </c>
      <c r="F34" s="146">
        <f t="shared" si="29"/>
        <v>3871200</v>
      </c>
      <c r="G34" s="147">
        <f t="shared" si="32"/>
        <v>2836800</v>
      </c>
      <c r="H34" s="148">
        <f t="shared" si="30"/>
        <v>1666321.0228858709</v>
      </c>
      <c r="I34" s="147"/>
      <c r="J34" s="269"/>
      <c r="K34" s="144">
        <f>C34</f>
        <v>5</v>
      </c>
      <c r="L34" s="187">
        <v>18</v>
      </c>
      <c r="M34" s="145">
        <f t="shared" si="34"/>
        <v>6708000</v>
      </c>
      <c r="N34" s="146">
        <f t="shared" si="41"/>
        <v>3721200</v>
      </c>
      <c r="O34" s="147">
        <f t="shared" si="35"/>
        <v>2986800</v>
      </c>
      <c r="P34" s="147">
        <f t="shared" si="31"/>
        <v>1754430.2140283133</v>
      </c>
      <c r="Q34" s="149">
        <f>SUM(P$13:$P34)</f>
        <v>20617303.945836823</v>
      </c>
      <c r="R34" s="147"/>
      <c r="S34" s="269"/>
      <c r="T34" s="144">
        <f t="shared" ref="T34" si="43">1+T33</f>
        <v>5</v>
      </c>
      <c r="U34" s="187">
        <v>18</v>
      </c>
      <c r="V34" s="145">
        <f t="shared" si="36"/>
        <v>6708000</v>
      </c>
      <c r="W34" s="146">
        <f t="shared" si="37"/>
        <v>3871200</v>
      </c>
      <c r="X34" s="147">
        <f t="shared" si="38"/>
        <v>2836800</v>
      </c>
      <c r="Y34" s="147">
        <f t="shared" si="39"/>
        <v>1666321.0228858709</v>
      </c>
      <c r="Z34" s="149">
        <f>SUM($Y$13:Y34)</f>
        <v>-2621469.9714034973</v>
      </c>
    </row>
    <row r="35" spans="2:26" ht="29.25" customHeight="1" x14ac:dyDescent="0.25">
      <c r="B35" s="269" t="s">
        <v>183</v>
      </c>
      <c r="C35" s="184"/>
      <c r="D35" s="188"/>
      <c r="E35" s="145"/>
      <c r="F35" s="145"/>
      <c r="G35" s="147"/>
      <c r="H35" s="148"/>
      <c r="I35" s="147"/>
      <c r="J35" s="269" t="s">
        <v>183</v>
      </c>
      <c r="K35" s="184"/>
      <c r="L35" s="188"/>
      <c r="M35" s="145"/>
      <c r="N35" s="146"/>
      <c r="O35" s="147"/>
      <c r="P35" s="147"/>
      <c r="Q35" s="149"/>
      <c r="R35" s="147"/>
      <c r="S35" s="269" t="s">
        <v>183</v>
      </c>
      <c r="T35" s="184"/>
      <c r="U35" s="188"/>
      <c r="V35" s="145"/>
      <c r="W35" s="146"/>
      <c r="X35" s="147"/>
      <c r="Y35" s="147"/>
      <c r="Z35" s="149"/>
    </row>
    <row r="36" spans="2:26" x14ac:dyDescent="0.25">
      <c r="B36" s="269"/>
      <c r="C36" s="144">
        <v>0</v>
      </c>
      <c r="D36" s="187">
        <v>19</v>
      </c>
      <c r="E36" s="145">
        <v>0</v>
      </c>
      <c r="F36" s="146">
        <f>F29</f>
        <v>4626000</v>
      </c>
      <c r="G36" s="147">
        <f>E36-F36</f>
        <v>-4626000</v>
      </c>
      <c r="H36" s="148">
        <f>G36/(1+$H$53)^D36</f>
        <v>-2638143.160031965</v>
      </c>
      <c r="I36" s="147"/>
      <c r="J36" s="269"/>
      <c r="K36" s="144">
        <f>C36</f>
        <v>0</v>
      </c>
      <c r="L36" s="187">
        <v>19</v>
      </c>
      <c r="M36" s="145">
        <f>E36</f>
        <v>0</v>
      </c>
      <c r="N36" s="146">
        <f>N30</f>
        <v>3721200</v>
      </c>
      <c r="O36" s="147">
        <f>M36-N36</f>
        <v>-3721200</v>
      </c>
      <c r="P36" s="147">
        <f t="shared" ref="P36:P41" si="44">O36/(1+$Q$53)^L36</f>
        <v>-2122148.3629725352</v>
      </c>
      <c r="Q36" s="149">
        <f>SUM(P$13:$P36)</f>
        <v>18495155.582864288</v>
      </c>
      <c r="R36" s="147"/>
      <c r="S36" s="269"/>
      <c r="T36" s="144">
        <v>0</v>
      </c>
      <c r="U36" s="187">
        <v>19</v>
      </c>
      <c r="V36" s="145">
        <f>E36</f>
        <v>0</v>
      </c>
      <c r="W36" s="146">
        <f>F36</f>
        <v>4626000</v>
      </c>
      <c r="X36" s="147">
        <f>V36-W36</f>
        <v>-4626000</v>
      </c>
      <c r="Y36" s="147">
        <f>X36/(1+$Z$53)^U36</f>
        <v>-2638143.160031965</v>
      </c>
      <c r="Z36" s="149">
        <f>SUM($Y$13:Y36)</f>
        <v>-5259613.1314354623</v>
      </c>
    </row>
    <row r="37" spans="2:26" x14ac:dyDescent="0.25">
      <c r="B37" s="269"/>
      <c r="C37" s="144">
        <v>1</v>
      </c>
      <c r="D37" s="187">
        <v>20</v>
      </c>
      <c r="E37" s="145">
        <f>E30</f>
        <v>5366400</v>
      </c>
      <c r="F37" s="146">
        <f t="shared" ref="F37:F41" si="45">F30</f>
        <v>3699300</v>
      </c>
      <c r="G37" s="147">
        <f t="shared" ref="G37:G41" si="46">E37-F37</f>
        <v>1667100</v>
      </c>
      <c r="H37" s="148">
        <f t="shared" ref="H37:H40" si="47">G37/(1+$H$53)^D37</f>
        <v>923032.849804039</v>
      </c>
      <c r="I37" s="147"/>
      <c r="J37" s="269"/>
      <c r="K37" s="144">
        <f t="shared" ref="K37:K39" si="48">C37</f>
        <v>1</v>
      </c>
      <c r="L37" s="187">
        <v>20</v>
      </c>
      <c r="M37" s="145">
        <f t="shared" ref="M37:M41" si="49">E37</f>
        <v>5366400</v>
      </c>
      <c r="N37" s="146">
        <f>N36</f>
        <v>3721200</v>
      </c>
      <c r="O37" s="147">
        <f t="shared" ref="O37:O41" si="50">M37-N37</f>
        <v>1645200</v>
      </c>
      <c r="P37" s="147">
        <f t="shared" si="44"/>
        <v>910907.35078735824</v>
      </c>
      <c r="Q37" s="149">
        <f>SUM(P$13:$P37)</f>
        <v>19406062.933651645</v>
      </c>
      <c r="R37" s="147"/>
      <c r="S37" s="269"/>
      <c r="T37" s="144">
        <v>1</v>
      </c>
      <c r="U37" s="187">
        <v>20</v>
      </c>
      <c r="V37" s="145">
        <f t="shared" ref="V37:V41" si="51">E37</f>
        <v>5366400</v>
      </c>
      <c r="W37" s="146">
        <f t="shared" ref="W37:W41" si="52">F37</f>
        <v>3699300</v>
      </c>
      <c r="X37" s="147">
        <f t="shared" ref="X37:X41" si="53">V37-W37</f>
        <v>1667100</v>
      </c>
      <c r="Y37" s="147">
        <f t="shared" ref="Y37:Y41" si="54">X37/(1+$Z$53)^U37</f>
        <v>923032.849804039</v>
      </c>
      <c r="Z37" s="149">
        <f>SUM($Y$13:Y37)</f>
        <v>-4336580.2816314232</v>
      </c>
    </row>
    <row r="38" spans="2:26" x14ac:dyDescent="0.25">
      <c r="B38" s="269"/>
      <c r="C38" s="144">
        <v>2</v>
      </c>
      <c r="D38" s="187">
        <v>21</v>
      </c>
      <c r="E38" s="145">
        <f t="shared" ref="E38:E41" si="55">E31</f>
        <v>6708000</v>
      </c>
      <c r="F38" s="146">
        <f t="shared" si="45"/>
        <v>3871200</v>
      </c>
      <c r="G38" s="147">
        <f t="shared" si="46"/>
        <v>2836800</v>
      </c>
      <c r="H38" s="148">
        <f t="shared" si="47"/>
        <v>1524919.7858988303</v>
      </c>
      <c r="I38" s="147"/>
      <c r="J38" s="269"/>
      <c r="K38" s="144">
        <f t="shared" si="48"/>
        <v>2</v>
      </c>
      <c r="L38" s="187">
        <v>21</v>
      </c>
      <c r="M38" s="145">
        <f t="shared" si="49"/>
        <v>6708000</v>
      </c>
      <c r="N38" s="146">
        <f t="shared" ref="N38:N41" si="56">N37</f>
        <v>3721200</v>
      </c>
      <c r="O38" s="147">
        <f t="shared" si="50"/>
        <v>2986800</v>
      </c>
      <c r="P38" s="147">
        <f t="shared" si="44"/>
        <v>1605552.1772851897</v>
      </c>
      <c r="Q38" s="149">
        <f>SUM(P$13:$P38)</f>
        <v>21011615.110936835</v>
      </c>
      <c r="R38" s="147"/>
      <c r="S38" s="269"/>
      <c r="T38" s="144">
        <v>2</v>
      </c>
      <c r="U38" s="187">
        <v>21</v>
      </c>
      <c r="V38" s="145">
        <f t="shared" si="51"/>
        <v>6708000</v>
      </c>
      <c r="W38" s="146">
        <f t="shared" si="52"/>
        <v>3871200</v>
      </c>
      <c r="X38" s="147">
        <f t="shared" si="53"/>
        <v>2836800</v>
      </c>
      <c r="Y38" s="147">
        <f t="shared" si="54"/>
        <v>1524919.7858988303</v>
      </c>
      <c r="Z38" s="149">
        <f>SUM($Y$13:Y38)</f>
        <v>-2811660.4957325929</v>
      </c>
    </row>
    <row r="39" spans="2:26" x14ac:dyDescent="0.25">
      <c r="B39" s="269"/>
      <c r="C39" s="144">
        <v>3</v>
      </c>
      <c r="D39" s="187">
        <v>22</v>
      </c>
      <c r="E39" s="145">
        <f t="shared" si="55"/>
        <v>6708000</v>
      </c>
      <c r="F39" s="146">
        <f t="shared" si="45"/>
        <v>3871200</v>
      </c>
      <c r="G39" s="147">
        <f t="shared" si="46"/>
        <v>2836800</v>
      </c>
      <c r="H39" s="148">
        <f t="shared" si="47"/>
        <v>1480504.6465037186</v>
      </c>
      <c r="I39" s="147"/>
      <c r="J39" s="269"/>
      <c r="K39" s="144">
        <f t="shared" si="48"/>
        <v>3</v>
      </c>
      <c r="L39" s="187">
        <v>22</v>
      </c>
      <c r="M39" s="145">
        <f t="shared" si="49"/>
        <v>6708000</v>
      </c>
      <c r="N39" s="146">
        <f t="shared" si="56"/>
        <v>3721200</v>
      </c>
      <c r="O39" s="147">
        <f t="shared" si="50"/>
        <v>2986800</v>
      </c>
      <c r="P39" s="147">
        <f t="shared" si="44"/>
        <v>1558788.5216361065</v>
      </c>
      <c r="Q39" s="149">
        <f>SUM(P$13:$P39)</f>
        <v>22570403.632572941</v>
      </c>
      <c r="R39" s="147"/>
      <c r="S39" s="269"/>
      <c r="T39" s="144">
        <v>3</v>
      </c>
      <c r="U39" s="187">
        <v>22</v>
      </c>
      <c r="V39" s="145">
        <f t="shared" si="51"/>
        <v>6708000</v>
      </c>
      <c r="W39" s="146">
        <f t="shared" si="52"/>
        <v>3871200</v>
      </c>
      <c r="X39" s="147">
        <f t="shared" si="53"/>
        <v>2836800</v>
      </c>
      <c r="Y39" s="147">
        <f t="shared" si="54"/>
        <v>1480504.6465037186</v>
      </c>
      <c r="Z39" s="149">
        <f>SUM($Y$13:Y39)</f>
        <v>-1331155.8492288743</v>
      </c>
    </row>
    <row r="40" spans="2:26" x14ac:dyDescent="0.25">
      <c r="B40" s="269"/>
      <c r="C40" s="144">
        <v>4</v>
      </c>
      <c r="D40" s="187">
        <v>23</v>
      </c>
      <c r="E40" s="145">
        <f t="shared" si="55"/>
        <v>6708000</v>
      </c>
      <c r="F40" s="146">
        <f t="shared" si="45"/>
        <v>3871200</v>
      </c>
      <c r="G40" s="147">
        <f t="shared" si="46"/>
        <v>2836800</v>
      </c>
      <c r="H40" s="148">
        <f t="shared" si="47"/>
        <v>1437383.1519453579</v>
      </c>
      <c r="I40" s="147"/>
      <c r="J40" s="269"/>
      <c r="K40" s="144">
        <f>C40</f>
        <v>4</v>
      </c>
      <c r="L40" s="187">
        <v>23</v>
      </c>
      <c r="M40" s="145">
        <f t="shared" si="49"/>
        <v>6708000</v>
      </c>
      <c r="N40" s="146">
        <f t="shared" si="56"/>
        <v>3721200</v>
      </c>
      <c r="O40" s="147">
        <f t="shared" si="50"/>
        <v>2986800</v>
      </c>
      <c r="P40" s="147">
        <f t="shared" si="44"/>
        <v>1513386.9142098119</v>
      </c>
      <c r="Q40" s="149">
        <f>SUM(P$13:$P40)</f>
        <v>24083790.546782754</v>
      </c>
      <c r="R40" s="147"/>
      <c r="S40" s="269"/>
      <c r="T40" s="144">
        <v>4</v>
      </c>
      <c r="U40" s="187">
        <v>23</v>
      </c>
      <c r="V40" s="145">
        <f t="shared" si="51"/>
        <v>6708000</v>
      </c>
      <c r="W40" s="146">
        <f t="shared" si="52"/>
        <v>3871200</v>
      </c>
      <c r="X40" s="147">
        <f t="shared" si="53"/>
        <v>2836800</v>
      </c>
      <c r="Y40" s="147">
        <f t="shared" si="54"/>
        <v>1437383.1519453579</v>
      </c>
      <c r="Z40" s="149">
        <f>SUM($Y$13:Y40)</f>
        <v>106227.30271648359</v>
      </c>
    </row>
    <row r="41" spans="2:26" x14ac:dyDescent="0.25">
      <c r="B41" s="269"/>
      <c r="C41" s="144">
        <f t="shared" ref="C41" si="57">1+C40</f>
        <v>5</v>
      </c>
      <c r="D41" s="187">
        <v>24</v>
      </c>
      <c r="E41" s="145">
        <f t="shared" si="55"/>
        <v>6708000</v>
      </c>
      <c r="F41" s="146">
        <f t="shared" si="45"/>
        <v>3871200</v>
      </c>
      <c r="G41" s="147">
        <f t="shared" si="46"/>
        <v>2836800</v>
      </c>
      <c r="H41" s="148">
        <f>G41/(1+$H$53)^D41</f>
        <v>1395517.6232479203</v>
      </c>
      <c r="I41" s="147"/>
      <c r="J41" s="269"/>
      <c r="K41" s="144">
        <f>C41</f>
        <v>5</v>
      </c>
      <c r="L41" s="187">
        <v>24</v>
      </c>
      <c r="M41" s="145">
        <f t="shared" si="49"/>
        <v>6708000</v>
      </c>
      <c r="N41" s="146">
        <f t="shared" si="56"/>
        <v>3721200</v>
      </c>
      <c r="O41" s="147">
        <f t="shared" si="50"/>
        <v>2986800</v>
      </c>
      <c r="P41" s="147">
        <f t="shared" si="44"/>
        <v>1469307.6836988467</v>
      </c>
      <c r="Q41" s="149">
        <f>SUM(P$13:$P41)</f>
        <v>25553098.230481602</v>
      </c>
      <c r="R41" s="147"/>
      <c r="S41" s="269"/>
      <c r="T41" s="144">
        <f t="shared" ref="T41" si="58">1+T40</f>
        <v>5</v>
      </c>
      <c r="U41" s="187">
        <v>24</v>
      </c>
      <c r="V41" s="145">
        <f t="shared" si="51"/>
        <v>6708000</v>
      </c>
      <c r="W41" s="146">
        <f t="shared" si="52"/>
        <v>3871200</v>
      </c>
      <c r="X41" s="147">
        <f t="shared" si="53"/>
        <v>2836800</v>
      </c>
      <c r="Y41" s="147">
        <f t="shared" si="54"/>
        <v>1395517.6232479203</v>
      </c>
      <c r="Z41" s="149">
        <f>SUM($Y$13:Y41)</f>
        <v>1501744.9259644039</v>
      </c>
    </row>
    <row r="42" spans="2:26" x14ac:dyDescent="0.25">
      <c r="B42" s="150"/>
      <c r="C42" s="144"/>
      <c r="D42" s="187"/>
      <c r="E42" s="20"/>
      <c r="F42" s="20"/>
      <c r="G42" s="138"/>
      <c r="H42" s="151"/>
      <c r="I42" s="138"/>
      <c r="J42" s="150"/>
      <c r="K42" s="21"/>
      <c r="L42" s="21"/>
      <c r="M42" s="20"/>
      <c r="N42" s="20"/>
      <c r="O42" s="138"/>
      <c r="P42" s="138"/>
      <c r="Q42" s="152"/>
      <c r="R42" s="138"/>
      <c r="S42" s="153"/>
      <c r="T42" s="144"/>
      <c r="U42" s="144"/>
      <c r="V42" s="20"/>
      <c r="W42" s="20"/>
      <c r="X42" s="138"/>
      <c r="Y42" s="138"/>
      <c r="Z42" s="152"/>
    </row>
    <row r="43" spans="2:26" x14ac:dyDescent="0.25">
      <c r="B43" s="150"/>
      <c r="C43" s="144"/>
      <c r="D43" s="187"/>
      <c r="E43" s="20"/>
      <c r="F43" s="20"/>
      <c r="G43" s="138"/>
      <c r="H43" s="151"/>
      <c r="I43" s="138"/>
      <c r="J43" s="150"/>
      <c r="K43" s="144"/>
      <c r="L43" s="144"/>
      <c r="M43" s="20"/>
      <c r="N43" s="20"/>
      <c r="O43" s="138"/>
      <c r="P43" s="138"/>
      <c r="Q43" s="152"/>
      <c r="R43" s="138"/>
      <c r="S43" s="153"/>
      <c r="T43" s="144"/>
      <c r="U43" s="144"/>
      <c r="V43" s="20"/>
      <c r="W43" s="20"/>
      <c r="X43" s="138"/>
      <c r="Y43" s="138"/>
      <c r="Z43" s="152"/>
    </row>
    <row r="44" spans="2:26" x14ac:dyDescent="0.25">
      <c r="B44" s="150"/>
      <c r="C44" s="144"/>
      <c r="D44" s="187"/>
      <c r="E44" s="20"/>
      <c r="F44" s="20"/>
      <c r="G44" s="138"/>
      <c r="H44" s="151"/>
      <c r="I44" s="138"/>
      <c r="J44" s="150"/>
      <c r="K44" s="144"/>
      <c r="L44" s="144"/>
      <c r="M44" s="20"/>
      <c r="N44" s="20"/>
      <c r="O44" s="138"/>
      <c r="P44" s="138"/>
      <c r="Q44" s="152"/>
      <c r="R44" s="138"/>
      <c r="S44" s="153"/>
      <c r="T44" s="144"/>
      <c r="U44" s="144"/>
      <c r="V44" s="20"/>
      <c r="W44" s="20"/>
      <c r="X44" s="138"/>
      <c r="Y44" s="138"/>
      <c r="Z44" s="152"/>
    </row>
    <row r="45" spans="2:26" x14ac:dyDescent="0.25">
      <c r="B45" s="150"/>
      <c r="C45" s="144"/>
      <c r="D45" s="187"/>
      <c r="E45" s="20"/>
      <c r="F45" s="20"/>
      <c r="G45" s="154" t="s">
        <v>128</v>
      </c>
      <c r="H45" s="204">
        <f>'Hop Production'!$E$38</f>
        <v>6.5</v>
      </c>
      <c r="I45" s="156"/>
      <c r="J45" s="150"/>
      <c r="K45" s="144"/>
      <c r="L45" s="144"/>
      <c r="M45" s="20"/>
      <c r="N45" s="20"/>
      <c r="O45" s="21"/>
      <c r="P45" s="154" t="s">
        <v>128</v>
      </c>
      <c r="Q45" s="204">
        <f>'Hop Production'!$E$38</f>
        <v>6.5</v>
      </c>
      <c r="R45" s="156"/>
      <c r="S45" s="157"/>
      <c r="T45" s="144"/>
      <c r="U45" s="144"/>
      <c r="V45" s="20"/>
      <c r="W45" s="20"/>
      <c r="X45" s="21"/>
      <c r="Y45" s="154" t="s">
        <v>128</v>
      </c>
      <c r="Z45" s="155">
        <f t="shared" ref="Z45:Z51" si="59">H45</f>
        <v>6.5</v>
      </c>
    </row>
    <row r="46" spans="2:26" x14ac:dyDescent="0.25">
      <c r="B46" s="150"/>
      <c r="C46" s="144"/>
      <c r="D46" s="187"/>
      <c r="E46" s="20"/>
      <c r="F46" s="20"/>
      <c r="G46" s="154" t="s">
        <v>129</v>
      </c>
      <c r="H46" s="204">
        <f>'Hop Production'!$E$39</f>
        <v>3.25</v>
      </c>
      <c r="I46" s="156"/>
      <c r="J46" s="150"/>
      <c r="K46" s="144"/>
      <c r="L46" s="144"/>
      <c r="M46" s="20"/>
      <c r="N46" s="20"/>
      <c r="O46" s="21"/>
      <c r="P46" s="154" t="s">
        <v>129</v>
      </c>
      <c r="Q46" s="204">
        <f>'Hop Production'!$E$39</f>
        <v>3.25</v>
      </c>
      <c r="R46" s="156"/>
      <c r="S46" s="157"/>
      <c r="T46" s="144"/>
      <c r="U46" s="144"/>
      <c r="V46" s="20"/>
      <c r="W46" s="20"/>
      <c r="X46" s="21"/>
      <c r="Y46" s="154" t="s">
        <v>129</v>
      </c>
      <c r="Z46" s="155">
        <f t="shared" si="59"/>
        <v>3.25</v>
      </c>
    </row>
    <row r="47" spans="2:26" x14ac:dyDescent="0.25">
      <c r="B47" s="150"/>
      <c r="C47" s="144"/>
      <c r="D47" s="187"/>
      <c r="E47" s="20"/>
      <c r="F47" s="20"/>
      <c r="G47" s="154" t="s">
        <v>124</v>
      </c>
      <c r="H47" s="205">
        <f>'Hop Production'!$D$35</f>
        <v>1152</v>
      </c>
      <c r="I47" s="159"/>
      <c r="J47" s="150"/>
      <c r="K47" s="144"/>
      <c r="L47" s="144"/>
      <c r="M47" s="20"/>
      <c r="N47" s="20"/>
      <c r="O47" s="21"/>
      <c r="P47" s="154" t="s">
        <v>124</v>
      </c>
      <c r="Q47" s="205">
        <f>'Hop Production'!$D$35</f>
        <v>1152</v>
      </c>
      <c r="R47" s="159"/>
      <c r="S47" s="160"/>
      <c r="T47" s="144"/>
      <c r="U47" s="144"/>
      <c r="V47" s="20"/>
      <c r="W47" s="20"/>
      <c r="X47" s="21"/>
      <c r="Y47" s="154" t="s">
        <v>124</v>
      </c>
      <c r="Z47" s="158">
        <f t="shared" si="59"/>
        <v>1152</v>
      </c>
    </row>
    <row r="48" spans="2:26" x14ac:dyDescent="0.25">
      <c r="B48" s="150"/>
      <c r="C48" s="144"/>
      <c r="D48" s="187"/>
      <c r="E48" s="20"/>
      <c r="F48" s="20"/>
      <c r="G48" s="154" t="s">
        <v>125</v>
      </c>
      <c r="H48" s="205">
        <f>'Hop Production'!$D$36</f>
        <v>448</v>
      </c>
      <c r="I48" s="159"/>
      <c r="J48" s="150"/>
      <c r="K48" s="144"/>
      <c r="L48" s="144"/>
      <c r="M48" s="20"/>
      <c r="N48" s="20"/>
      <c r="O48" s="21"/>
      <c r="P48" s="154" t="s">
        <v>125</v>
      </c>
      <c r="Q48" s="205">
        <f>'Hop Production'!$D$36</f>
        <v>448</v>
      </c>
      <c r="R48" s="159"/>
      <c r="S48" s="160"/>
      <c r="T48" s="144"/>
      <c r="U48" s="144"/>
      <c r="V48" s="20"/>
      <c r="W48" s="20"/>
      <c r="X48" s="21"/>
      <c r="Y48" s="154" t="s">
        <v>125</v>
      </c>
      <c r="Z48" s="158">
        <f t="shared" si="59"/>
        <v>448</v>
      </c>
    </row>
    <row r="49" spans="2:26" x14ac:dyDescent="0.25">
      <c r="B49" s="150"/>
      <c r="C49" s="144"/>
      <c r="D49" s="187"/>
      <c r="E49" s="20"/>
      <c r="F49" s="20"/>
      <c r="G49" s="154" t="s">
        <v>126</v>
      </c>
      <c r="H49" s="205">
        <f>'Hop Production'!$E$35</f>
        <v>1440</v>
      </c>
      <c r="I49" s="161"/>
      <c r="J49" s="150"/>
      <c r="K49" s="144"/>
      <c r="L49" s="144"/>
      <c r="M49" s="20"/>
      <c r="N49" s="20"/>
      <c r="O49" s="21"/>
      <c r="P49" s="154" t="s">
        <v>126</v>
      </c>
      <c r="Q49" s="205">
        <f>'Hop Production'!$E$35</f>
        <v>1440</v>
      </c>
      <c r="R49" s="161"/>
      <c r="S49" s="162"/>
      <c r="T49" s="144"/>
      <c r="U49" s="144"/>
      <c r="V49" s="20"/>
      <c r="W49" s="20"/>
      <c r="X49" s="21"/>
      <c r="Y49" s="154" t="s">
        <v>126</v>
      </c>
      <c r="Z49" s="158">
        <f t="shared" si="59"/>
        <v>1440</v>
      </c>
    </row>
    <row r="50" spans="2:26" x14ac:dyDescent="0.25">
      <c r="B50" s="150"/>
      <c r="C50" s="144"/>
      <c r="D50" s="187"/>
      <c r="E50" s="20"/>
      <c r="F50" s="20"/>
      <c r="G50" s="154" t="s">
        <v>127</v>
      </c>
      <c r="H50" s="205">
        <f>'Hop Production'!$E$36</f>
        <v>560</v>
      </c>
      <c r="I50" s="161"/>
      <c r="J50" s="150"/>
      <c r="K50" s="144"/>
      <c r="L50" s="144"/>
      <c r="M50" s="20"/>
      <c r="N50" s="20"/>
      <c r="O50" s="21"/>
      <c r="P50" s="154" t="s">
        <v>127</v>
      </c>
      <c r="Q50" s="205">
        <f>'Hop Production'!$E$36</f>
        <v>560</v>
      </c>
      <c r="R50" s="161"/>
      <c r="S50" s="162"/>
      <c r="T50" s="144"/>
      <c r="U50" s="144"/>
      <c r="V50" s="20"/>
      <c r="W50" s="20"/>
      <c r="X50" s="21"/>
      <c r="Y50" s="154" t="s">
        <v>127</v>
      </c>
      <c r="Z50" s="158">
        <f t="shared" si="59"/>
        <v>560</v>
      </c>
    </row>
    <row r="51" spans="2:26" x14ac:dyDescent="0.25">
      <c r="B51" s="150"/>
      <c r="C51" s="144"/>
      <c r="D51" s="187"/>
      <c r="E51" s="20"/>
      <c r="F51" s="20"/>
      <c r="G51" s="154" t="s">
        <v>120</v>
      </c>
      <c r="H51" s="158">
        <v>600</v>
      </c>
      <c r="I51" s="159"/>
      <c r="J51" s="150"/>
      <c r="K51" s="144"/>
      <c r="L51" s="144"/>
      <c r="M51" s="20"/>
      <c r="N51" s="20"/>
      <c r="O51" s="21"/>
      <c r="P51" s="154" t="s">
        <v>120</v>
      </c>
      <c r="Q51" s="158">
        <v>600</v>
      </c>
      <c r="R51" s="159"/>
      <c r="S51" s="160"/>
      <c r="T51" s="144"/>
      <c r="U51" s="144"/>
      <c r="V51" s="20"/>
      <c r="W51" s="20"/>
      <c r="X51" s="21"/>
      <c r="Y51" s="154" t="s">
        <v>120</v>
      </c>
      <c r="Z51" s="158">
        <f t="shared" si="59"/>
        <v>600</v>
      </c>
    </row>
    <row r="52" spans="2:26" x14ac:dyDescent="0.25">
      <c r="B52" s="150"/>
      <c r="C52" s="144"/>
      <c r="D52" s="187"/>
      <c r="E52" s="20"/>
      <c r="F52" s="20"/>
      <c r="G52" s="163" t="s">
        <v>121</v>
      </c>
      <c r="H52" s="164">
        <f>SUM(H13:H41)</f>
        <v>1501744.9259644039</v>
      </c>
      <c r="I52" s="165"/>
      <c r="J52" s="150"/>
      <c r="K52" s="144"/>
      <c r="L52" s="144"/>
      <c r="M52" s="20"/>
      <c r="N52" s="20"/>
      <c r="O52" s="21"/>
      <c r="P52" s="163" t="s">
        <v>122</v>
      </c>
      <c r="Q52" s="206">
        <f>L15+(-Q15/P16)</f>
        <v>3.0170047247890719</v>
      </c>
      <c r="R52" s="165"/>
      <c r="S52" s="166"/>
      <c r="T52" s="144"/>
      <c r="U52" s="144"/>
      <c r="V52" s="20"/>
      <c r="W52" s="20"/>
      <c r="X52" s="21"/>
      <c r="Y52" s="163" t="s">
        <v>122</v>
      </c>
      <c r="Z52" s="206">
        <f>U39+(-Z39/Y40)</f>
        <v>22.92609673866518</v>
      </c>
    </row>
    <row r="53" spans="2:26" x14ac:dyDescent="0.25">
      <c r="B53" s="150"/>
      <c r="C53" s="144"/>
      <c r="D53" s="187"/>
      <c r="E53" s="20"/>
      <c r="F53" s="20"/>
      <c r="G53" s="163" t="s">
        <v>123</v>
      </c>
      <c r="H53" s="167">
        <v>0.03</v>
      </c>
      <c r="I53" s="168"/>
      <c r="J53" s="150"/>
      <c r="K53" s="144"/>
      <c r="L53" s="144"/>
      <c r="M53" s="20"/>
      <c r="N53" s="20"/>
      <c r="O53" s="21"/>
      <c r="P53" s="163" t="s">
        <v>123</v>
      </c>
      <c r="Q53" s="167">
        <f>H53</f>
        <v>0.03</v>
      </c>
      <c r="R53" s="168"/>
      <c r="S53" s="169"/>
      <c r="T53" s="144"/>
      <c r="U53" s="144"/>
      <c r="V53" s="20"/>
      <c r="W53" s="20"/>
      <c r="X53" s="21"/>
      <c r="Y53" s="163" t="s">
        <v>123</v>
      </c>
      <c r="Z53" s="167">
        <f>H53</f>
        <v>0.03</v>
      </c>
    </row>
    <row r="54" spans="2:26" x14ac:dyDescent="0.25">
      <c r="B54" s="170"/>
      <c r="C54" s="171"/>
      <c r="D54" s="189"/>
      <c r="E54" s="172"/>
      <c r="F54" s="172"/>
      <c r="G54" s="172"/>
      <c r="H54" s="179"/>
      <c r="I54" s="173"/>
      <c r="J54" s="174"/>
      <c r="K54" s="272"/>
      <c r="L54" s="272"/>
      <c r="M54" s="272"/>
      <c r="N54" s="272"/>
      <c r="O54" s="272"/>
      <c r="P54" s="272"/>
      <c r="Q54" s="273"/>
      <c r="R54" s="173"/>
      <c r="S54" s="175"/>
      <c r="T54" s="171"/>
      <c r="U54" s="171"/>
      <c r="V54" s="172"/>
      <c r="W54" s="172"/>
      <c r="X54" s="172"/>
      <c r="Y54" s="172"/>
      <c r="Z54" s="176"/>
    </row>
    <row r="55" spans="2:26" ht="29.25" customHeight="1" x14ac:dyDescent="0.25">
      <c r="B55" s="270"/>
      <c r="C55" s="270"/>
      <c r="D55" s="270"/>
      <c r="E55" s="270"/>
      <c r="F55" s="270"/>
      <c r="G55" s="270"/>
      <c r="H55" s="270"/>
      <c r="I55" s="177"/>
      <c r="J55" s="274"/>
      <c r="K55" s="274"/>
      <c r="L55" s="274"/>
      <c r="M55" s="274"/>
      <c r="N55" s="274"/>
      <c r="O55" s="274"/>
      <c r="P55" s="274"/>
      <c r="Q55" s="274"/>
      <c r="R55" s="177"/>
      <c r="S55" s="270"/>
      <c r="T55" s="270"/>
      <c r="U55" s="270"/>
      <c r="V55" s="270"/>
      <c r="W55" s="270"/>
      <c r="X55" s="270"/>
      <c r="Y55" s="270"/>
      <c r="Z55" s="270"/>
    </row>
    <row r="56" spans="2:26" ht="30" customHeight="1" x14ac:dyDescent="0.25">
      <c r="B56" s="271"/>
      <c r="C56" s="271"/>
      <c r="D56" s="271"/>
      <c r="E56" s="271"/>
      <c r="F56" s="271"/>
      <c r="G56" s="271"/>
      <c r="H56" s="271"/>
      <c r="I56" s="177"/>
      <c r="J56" s="270"/>
      <c r="K56" s="270"/>
      <c r="L56" s="270"/>
      <c r="M56" s="270"/>
      <c r="N56" s="270"/>
      <c r="O56" s="270"/>
      <c r="P56" s="270"/>
      <c r="Q56" s="270"/>
      <c r="R56" s="177"/>
      <c r="S56" s="271"/>
      <c r="T56" s="271"/>
      <c r="U56" s="271"/>
      <c r="V56" s="271"/>
      <c r="W56" s="271"/>
      <c r="X56" s="271"/>
      <c r="Y56" s="271"/>
      <c r="Z56" s="271"/>
    </row>
    <row r="57" spans="2:26" x14ac:dyDescent="0.25">
      <c r="G57" s="178"/>
      <c r="H57" s="178"/>
      <c r="I57" s="178"/>
      <c r="O57" s="178"/>
      <c r="P57" s="178"/>
      <c r="R57" s="178"/>
      <c r="S57" s="178"/>
      <c r="X57" s="178"/>
      <c r="Y57" s="178"/>
    </row>
  </sheetData>
  <sheetProtection sheet="1" objects="1" scenarios="1"/>
  <protectedRanges>
    <protectedRange sqref="P45:Q53 A45:N56 O54:Q56 Y45:Z53 AA45:XFD56 R45:W56 X54:Z56" name="Range1"/>
  </protectedRanges>
  <customSheetViews>
    <customSheetView guid="{76B766A5-443C-4C54-86C8-F5C661F06BFC}">
      <selection activeCell="D52" sqref="D52"/>
      <pageMargins left="0.7" right="0.7" top="0.75" bottom="0.75" header="0.3" footer="0.3"/>
    </customSheetView>
    <customSheetView guid="{4DF746F6-C3F2-4BEF-B84D-60D120277636}">
      <selection activeCell="D52" sqref="D52"/>
      <pageMargins left="0.7" right="0.7" top="0.75" bottom="0.75" header="0.3" footer="0.3"/>
    </customSheetView>
  </customSheetViews>
  <mergeCells count="19">
    <mergeCell ref="B28:B34"/>
    <mergeCell ref="J28:J34"/>
    <mergeCell ref="S28:S34"/>
    <mergeCell ref="B12:B18"/>
    <mergeCell ref="B20:B26"/>
    <mergeCell ref="J12:J18"/>
    <mergeCell ref="J20:J26"/>
    <mergeCell ref="S12:S18"/>
    <mergeCell ref="S20:S26"/>
    <mergeCell ref="B35:B41"/>
    <mergeCell ref="J35:J41"/>
    <mergeCell ref="S35:S41"/>
    <mergeCell ref="S55:Z55"/>
    <mergeCell ref="S56:Z56"/>
    <mergeCell ref="K54:Q54"/>
    <mergeCell ref="B56:H56"/>
    <mergeCell ref="B55:H55"/>
    <mergeCell ref="J56:Q56"/>
    <mergeCell ref="J55:Q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Assumptions</vt:lpstr>
      <vt:lpstr>Establishment</vt:lpstr>
      <vt:lpstr>Hop Production</vt:lpstr>
      <vt:lpstr>Price&amp;Yield Analysis</vt:lpstr>
      <vt:lpstr>Machinery Etc</vt:lpstr>
      <vt:lpstr>App1. Capital Req</vt:lpstr>
      <vt:lpstr>App2. Amortization calc</vt:lpstr>
      <vt:lpstr>App3. NPV&amp;Payback Pd</vt:lpstr>
      <vt:lpstr>Establishment!Print_Area</vt:lpstr>
      <vt:lpstr>'Hop Production'!Print_Area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P. Galinato</dc:creator>
  <cp:lastModifiedBy>Ann George</cp:lastModifiedBy>
  <cp:lastPrinted>2015-02-20T19:18:52Z</cp:lastPrinted>
  <dcterms:created xsi:type="dcterms:W3CDTF">2015-02-17T19:44:11Z</dcterms:created>
  <dcterms:modified xsi:type="dcterms:W3CDTF">2018-03-07T23:22:42Z</dcterms:modified>
</cp:coreProperties>
</file>